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codeName="ThisWorkbook"/>
  <mc:AlternateContent xmlns:mc="http://schemas.openxmlformats.org/markup-compatibility/2006">
    <mc:Choice Requires="x15">
      <x15ac:absPath xmlns:x15ac="http://schemas.microsoft.com/office/spreadsheetml/2010/11/ac" url="D:\Users\FS0226\Downloads\"/>
    </mc:Choice>
  </mc:AlternateContent>
  <workbookProtection workbookAlgorithmName="SHA-512" workbookHashValue="Er/hLt+miKl/LOXkAgb3ETm0mNVYThtiOYfNRsmQmfSS4aK5E4xaUUVh9ioLIkJjU79Zi1IgkDlkFhkEsSfPbw==" workbookSaltValue="A0m4SHpegT5CsPCVDbVVbQ==" workbookSpinCount="100000" lockStructure="1"/>
  <bookViews>
    <workbookView xWindow="0" yWindow="0" windowWidth="21105" windowHeight="10650" xr2:uid="{00000000-000D-0000-FFFF-FFFF00000000}"/>
  </bookViews>
  <sheets>
    <sheet name="Premium" sheetId="1" r:id="rId1"/>
    <sheet name="Deduction Chart" sheetId="15" state="hidden" r:id="rId2"/>
    <sheet name="Projections" sheetId="11" r:id="rId3"/>
    <sheet name="Glossary" sheetId="16" r:id="rId4"/>
    <sheet name="Premiums Rates" sheetId="2" state="hidden" r:id="rId5"/>
    <sheet name="Version History" sheetId="17" state="hidden" r:id="rId6"/>
  </sheets>
  <externalReferences>
    <externalReference r:id="rId7"/>
  </externalReferences>
  <definedNames>
    <definedName name="_Order1" hidden="1">255</definedName>
    <definedName name="Discount">[1]Premium!$C$24</definedName>
    <definedName name="Gender_options">INDEX(Table1[#All],2,'Premiums Rates'!$J$99) : INDEX(Table1[#All],COUNTA(INDEX(Table1[#All],,'Premiums Rates'!$J$99)),'Premiums Rates'!$J$99)</definedName>
    <definedName name="Premiums">'Premiums Rates'!$A$11:$AE$50</definedName>
    <definedName name="Risk_class_options">INDEX(Table13[#All],2,'Premiums Rates'!$J$107) : INDEX(Table13[#All],COUNTA(INDEX(Table13[#All],,'Premiums Rates'!$J$107)),'Premiums Rates'!$J$107)</definedName>
    <definedName name="State">[1]Premium!$C$5</definedName>
  </definedNames>
  <calcPr calcId="171027"/>
</workbook>
</file>

<file path=xl/calcChain.xml><?xml version="1.0" encoding="utf-8"?>
<calcChain xmlns="http://schemas.openxmlformats.org/spreadsheetml/2006/main">
  <c r="B26" i="1" l="1"/>
  <c r="Q83" i="2"/>
  <c r="D28" i="1" l="1"/>
  <c r="A119" i="2"/>
  <c r="P26" i="1" s="1"/>
  <c r="I6" i="1" l="1"/>
  <c r="A94" i="2" l="1"/>
  <c r="A104" i="2"/>
  <c r="A106" i="2"/>
  <c r="J95" i="2"/>
  <c r="P13" i="1" l="1"/>
  <c r="B64" i="2"/>
  <c r="A118" i="2" l="1"/>
  <c r="I107" i="2"/>
  <c r="A99" i="2"/>
  <c r="I87" i="2"/>
  <c r="AK13" i="2"/>
  <c r="AK12" i="2"/>
  <c r="AK11" i="2"/>
  <c r="D2" i="11"/>
  <c r="D19" i="1"/>
  <c r="D26" i="1"/>
  <c r="A117" i="2"/>
  <c r="A92" i="2"/>
  <c r="P11" i="1" l="1"/>
  <c r="P9" i="1"/>
  <c r="D11" i="1"/>
  <c r="I88" i="2"/>
  <c r="J107" i="2" l="1"/>
  <c r="I99" i="2" l="1"/>
  <c r="J99" i="2" s="1"/>
  <c r="A116" i="2" l="1"/>
  <c r="D29" i="1" s="1"/>
  <c r="A115" i="2" l="1"/>
  <c r="J90" i="2" l="1"/>
  <c r="J89" i="2"/>
  <c r="B28" i="1"/>
  <c r="B27" i="1"/>
  <c r="A114" i="2"/>
  <c r="A113" i="2" l="1"/>
  <c r="D24" i="1" s="1"/>
  <c r="A112" i="2"/>
  <c r="A111" i="2"/>
  <c r="B75" i="2"/>
  <c r="P72" i="2" s="1"/>
  <c r="B74" i="2"/>
  <c r="B73" i="2"/>
  <c r="P74" i="2" s="1"/>
  <c r="B72" i="2"/>
  <c r="P75" i="2" s="1"/>
  <c r="B71" i="2"/>
  <c r="P76" i="2" s="1"/>
  <c r="B70" i="2"/>
  <c r="P77" i="2" s="1"/>
  <c r="B63" i="2"/>
  <c r="P98" i="2" s="1"/>
  <c r="B62" i="2"/>
  <c r="P97" i="2" s="1"/>
  <c r="B61" i="2"/>
  <c r="P96" i="2" s="1"/>
  <c r="P99" i="2"/>
  <c r="AE50" i="2"/>
  <c r="AD50" i="2"/>
  <c r="AC50" i="2"/>
  <c r="AB50" i="2"/>
  <c r="AA50" i="2"/>
  <c r="AE49" i="2"/>
  <c r="AD49" i="2"/>
  <c r="AC49" i="2"/>
  <c r="AB49" i="2"/>
  <c r="AA49" i="2"/>
  <c r="AE48" i="2"/>
  <c r="AD48" i="2"/>
  <c r="AC48" i="2"/>
  <c r="AB48" i="2"/>
  <c r="AA48" i="2"/>
  <c r="AE47" i="2"/>
  <c r="AD47" i="2"/>
  <c r="AC47" i="2"/>
  <c r="AB47" i="2"/>
  <c r="AA47" i="2"/>
  <c r="AE46" i="2"/>
  <c r="AD46" i="2"/>
  <c r="AC46" i="2"/>
  <c r="AB46" i="2"/>
  <c r="AA46" i="2"/>
  <c r="AE45" i="2"/>
  <c r="AD45" i="2"/>
  <c r="AC45" i="2"/>
  <c r="AB45" i="2"/>
  <c r="AA45" i="2"/>
  <c r="AE44" i="2"/>
  <c r="AD44" i="2"/>
  <c r="AC44" i="2"/>
  <c r="AB44" i="2"/>
  <c r="AA44" i="2"/>
  <c r="AE43" i="2"/>
  <c r="AD43" i="2"/>
  <c r="AC43" i="2"/>
  <c r="AB43" i="2"/>
  <c r="AA43" i="2"/>
  <c r="AE42" i="2"/>
  <c r="AD42" i="2"/>
  <c r="AC42" i="2"/>
  <c r="AB42" i="2"/>
  <c r="AA42" i="2"/>
  <c r="AE41" i="2"/>
  <c r="AD41" i="2"/>
  <c r="AC41" i="2"/>
  <c r="AB41" i="2"/>
  <c r="AA41" i="2"/>
  <c r="AE40" i="2"/>
  <c r="AD40" i="2"/>
  <c r="AC40" i="2"/>
  <c r="AB40" i="2"/>
  <c r="AA40" i="2"/>
  <c r="AE39" i="2"/>
  <c r="AD39" i="2"/>
  <c r="AC39" i="2"/>
  <c r="AB39" i="2"/>
  <c r="AA39" i="2"/>
  <c r="AE38" i="2"/>
  <c r="AD38" i="2"/>
  <c r="AC38" i="2"/>
  <c r="AB38" i="2"/>
  <c r="AA38" i="2"/>
  <c r="AE37" i="2"/>
  <c r="AD37" i="2"/>
  <c r="AC37" i="2"/>
  <c r="AB37" i="2"/>
  <c r="AA37" i="2"/>
  <c r="AE36" i="2"/>
  <c r="AD36" i="2"/>
  <c r="AC36" i="2"/>
  <c r="AB36" i="2"/>
  <c r="AA36" i="2"/>
  <c r="AE35" i="2"/>
  <c r="AD35" i="2"/>
  <c r="AC35" i="2"/>
  <c r="AB35" i="2"/>
  <c r="AA35" i="2"/>
  <c r="AE34" i="2"/>
  <c r="AD34" i="2"/>
  <c r="AC34" i="2"/>
  <c r="AB34" i="2"/>
  <c r="AA34" i="2"/>
  <c r="AE33" i="2"/>
  <c r="AD33" i="2"/>
  <c r="AC33" i="2"/>
  <c r="AB33" i="2"/>
  <c r="AA33" i="2"/>
  <c r="AE32" i="2"/>
  <c r="AD32" i="2"/>
  <c r="AC32" i="2"/>
  <c r="AB32" i="2"/>
  <c r="AA32" i="2"/>
  <c r="AE31" i="2"/>
  <c r="AD31" i="2"/>
  <c r="AC31" i="2"/>
  <c r="AB31" i="2"/>
  <c r="AA31" i="2"/>
  <c r="AE30" i="2"/>
  <c r="AD30" i="2"/>
  <c r="AC30" i="2"/>
  <c r="AB30" i="2"/>
  <c r="AA30" i="2"/>
  <c r="AE29" i="2"/>
  <c r="AD29" i="2"/>
  <c r="AC29" i="2"/>
  <c r="AB29" i="2"/>
  <c r="AA29" i="2"/>
  <c r="AE28" i="2"/>
  <c r="AD28" i="2"/>
  <c r="AC28" i="2"/>
  <c r="AB28" i="2"/>
  <c r="AA28" i="2"/>
  <c r="AE27" i="2"/>
  <c r="AD27" i="2"/>
  <c r="AC27" i="2"/>
  <c r="AB27" i="2"/>
  <c r="AA27" i="2"/>
  <c r="AE26" i="2"/>
  <c r="AD26" i="2"/>
  <c r="AC26" i="2"/>
  <c r="AB26" i="2"/>
  <c r="AA26" i="2"/>
  <c r="AE25" i="2"/>
  <c r="AD25" i="2"/>
  <c r="AC25" i="2"/>
  <c r="AB25" i="2"/>
  <c r="AA25" i="2"/>
  <c r="AE24" i="2"/>
  <c r="AD24" i="2"/>
  <c r="AC24" i="2"/>
  <c r="AB24" i="2"/>
  <c r="AA24" i="2"/>
  <c r="AE23" i="2"/>
  <c r="AD23" i="2"/>
  <c r="AC23" i="2"/>
  <c r="AB23" i="2"/>
  <c r="AA23" i="2"/>
  <c r="AE22" i="2"/>
  <c r="AD22" i="2"/>
  <c r="AC22" i="2"/>
  <c r="AB22" i="2"/>
  <c r="AA22" i="2"/>
  <c r="AE21" i="2"/>
  <c r="AD21" i="2"/>
  <c r="AC21" i="2"/>
  <c r="AB21" i="2"/>
  <c r="AA21" i="2"/>
  <c r="AE20" i="2"/>
  <c r="AD20" i="2"/>
  <c r="AC20" i="2"/>
  <c r="AB20" i="2"/>
  <c r="AA20" i="2"/>
  <c r="AE19" i="2"/>
  <c r="AD19" i="2"/>
  <c r="AC19" i="2"/>
  <c r="AB19" i="2"/>
  <c r="AA19" i="2"/>
  <c r="AE18" i="2"/>
  <c r="AD18" i="2"/>
  <c r="AC18" i="2"/>
  <c r="AB18" i="2"/>
  <c r="AA18" i="2"/>
  <c r="AE17" i="2"/>
  <c r="AD17" i="2"/>
  <c r="AC17" i="2"/>
  <c r="AB17" i="2"/>
  <c r="AA17" i="2"/>
  <c r="AE16" i="2"/>
  <c r="AD16" i="2"/>
  <c r="AC16" i="2"/>
  <c r="AB16" i="2"/>
  <c r="AA16" i="2"/>
  <c r="AE15" i="2"/>
  <c r="AD15" i="2"/>
  <c r="AC15" i="2"/>
  <c r="AB15" i="2"/>
  <c r="AA15" i="2"/>
  <c r="AE14" i="2"/>
  <c r="AD14" i="2"/>
  <c r="AC14" i="2"/>
  <c r="AB14" i="2"/>
  <c r="AA14" i="2"/>
  <c r="AE13" i="2"/>
  <c r="AD13" i="2"/>
  <c r="AC13" i="2"/>
  <c r="AB13" i="2"/>
  <c r="AA13" i="2"/>
  <c r="AE12" i="2"/>
  <c r="AD12" i="2"/>
  <c r="AC12" i="2"/>
  <c r="AB12" i="2"/>
  <c r="AA12" i="2"/>
  <c r="AE11" i="2"/>
  <c r="AD11" i="2"/>
  <c r="AC11" i="2"/>
  <c r="AB11" i="2"/>
  <c r="AA11" i="2"/>
  <c r="Z50" i="2"/>
  <c r="Y50" i="2"/>
  <c r="Z49" i="2"/>
  <c r="Y49" i="2"/>
  <c r="Z48" i="2"/>
  <c r="Y48" i="2"/>
  <c r="Z47" i="2"/>
  <c r="Y47" i="2"/>
  <c r="Z46" i="2"/>
  <c r="Y46" i="2"/>
  <c r="Z45" i="2"/>
  <c r="Y45" i="2"/>
  <c r="Z44" i="2"/>
  <c r="Y44" i="2"/>
  <c r="Z43" i="2"/>
  <c r="Y43" i="2"/>
  <c r="Z42" i="2"/>
  <c r="Y42" i="2"/>
  <c r="Z41" i="2"/>
  <c r="Y41" i="2"/>
  <c r="Z40" i="2"/>
  <c r="Y40" i="2"/>
  <c r="Z39" i="2"/>
  <c r="Y39" i="2"/>
  <c r="Z38" i="2"/>
  <c r="Y38" i="2"/>
  <c r="Z37" i="2"/>
  <c r="Y37" i="2"/>
  <c r="Z36" i="2"/>
  <c r="Y36" i="2"/>
  <c r="Z35" i="2"/>
  <c r="Y35" i="2"/>
  <c r="Z34" i="2"/>
  <c r="Y34" i="2"/>
  <c r="Z33" i="2"/>
  <c r="Y33" i="2"/>
  <c r="Z32" i="2"/>
  <c r="Y32" i="2"/>
  <c r="Z31" i="2"/>
  <c r="Y31" i="2"/>
  <c r="Z30" i="2"/>
  <c r="Y30" i="2"/>
  <c r="Z29" i="2"/>
  <c r="Y29" i="2"/>
  <c r="Z28" i="2"/>
  <c r="Y28" i="2"/>
  <c r="Z27" i="2"/>
  <c r="Y27" i="2"/>
  <c r="Z26" i="2"/>
  <c r="Y26" i="2"/>
  <c r="Z25" i="2"/>
  <c r="Y25" i="2"/>
  <c r="Z24" i="2"/>
  <c r="Y24" i="2"/>
  <c r="Z23" i="2"/>
  <c r="Y23" i="2"/>
  <c r="Z22" i="2"/>
  <c r="Y22" i="2"/>
  <c r="Z21" i="2"/>
  <c r="Y21" i="2"/>
  <c r="Z20" i="2"/>
  <c r="Y20" i="2"/>
  <c r="Z19" i="2"/>
  <c r="Y19" i="2"/>
  <c r="Z18" i="2"/>
  <c r="Y18" i="2"/>
  <c r="Z17" i="2"/>
  <c r="Y17" i="2"/>
  <c r="Z16" i="2"/>
  <c r="Y16" i="2"/>
  <c r="Z15" i="2"/>
  <c r="Y15" i="2"/>
  <c r="Z14" i="2"/>
  <c r="Y14" i="2"/>
  <c r="Z13" i="2"/>
  <c r="Y13" i="2"/>
  <c r="Z12" i="2"/>
  <c r="Y12" i="2"/>
  <c r="Z11" i="2"/>
  <c r="Y11" i="2"/>
  <c r="W50" i="2"/>
  <c r="V50" i="2"/>
  <c r="U50" i="2"/>
  <c r="T50" i="2"/>
  <c r="S50" i="2"/>
  <c r="R50" i="2"/>
  <c r="Q50" i="2"/>
  <c r="P50" i="2"/>
  <c r="O50" i="2"/>
  <c r="N50" i="2"/>
  <c r="M50" i="2"/>
  <c r="L50" i="2"/>
  <c r="W49" i="2"/>
  <c r="V49" i="2"/>
  <c r="U49" i="2"/>
  <c r="T49" i="2"/>
  <c r="S49" i="2"/>
  <c r="R49" i="2"/>
  <c r="Q49" i="2"/>
  <c r="P49" i="2"/>
  <c r="O49" i="2"/>
  <c r="N49" i="2"/>
  <c r="M49" i="2"/>
  <c r="L49" i="2"/>
  <c r="W48" i="2"/>
  <c r="V48" i="2"/>
  <c r="U48" i="2"/>
  <c r="T48" i="2"/>
  <c r="S48" i="2"/>
  <c r="R48" i="2"/>
  <c r="Q48" i="2"/>
  <c r="P48" i="2"/>
  <c r="O48" i="2"/>
  <c r="N48" i="2"/>
  <c r="M48" i="2"/>
  <c r="L48" i="2"/>
  <c r="W47" i="2"/>
  <c r="V47" i="2"/>
  <c r="U47" i="2"/>
  <c r="T47" i="2"/>
  <c r="S47" i="2"/>
  <c r="R47" i="2"/>
  <c r="Q47" i="2"/>
  <c r="P47" i="2"/>
  <c r="O47" i="2"/>
  <c r="N47" i="2"/>
  <c r="M47" i="2"/>
  <c r="L47" i="2"/>
  <c r="W46" i="2"/>
  <c r="V46" i="2"/>
  <c r="U46" i="2"/>
  <c r="T46" i="2"/>
  <c r="S46" i="2"/>
  <c r="R46" i="2"/>
  <c r="Q46" i="2"/>
  <c r="P46" i="2"/>
  <c r="O46" i="2"/>
  <c r="N46" i="2"/>
  <c r="M46" i="2"/>
  <c r="L46" i="2"/>
  <c r="W45" i="2"/>
  <c r="V45" i="2"/>
  <c r="U45" i="2"/>
  <c r="T45" i="2"/>
  <c r="S45" i="2"/>
  <c r="R45" i="2"/>
  <c r="Q45" i="2"/>
  <c r="P45" i="2"/>
  <c r="O45" i="2"/>
  <c r="N45" i="2"/>
  <c r="M45" i="2"/>
  <c r="L45" i="2"/>
  <c r="W44" i="2"/>
  <c r="V44" i="2"/>
  <c r="U44" i="2"/>
  <c r="T44" i="2"/>
  <c r="S44" i="2"/>
  <c r="R44" i="2"/>
  <c r="Q44" i="2"/>
  <c r="P44" i="2"/>
  <c r="O44" i="2"/>
  <c r="N44" i="2"/>
  <c r="M44" i="2"/>
  <c r="L44" i="2"/>
  <c r="W43" i="2"/>
  <c r="V43" i="2"/>
  <c r="U43" i="2"/>
  <c r="T43" i="2"/>
  <c r="S43" i="2"/>
  <c r="R43" i="2"/>
  <c r="Q43" i="2"/>
  <c r="P43" i="2"/>
  <c r="O43" i="2"/>
  <c r="N43" i="2"/>
  <c r="M43" i="2"/>
  <c r="L43" i="2"/>
  <c r="W42" i="2"/>
  <c r="V42" i="2"/>
  <c r="U42" i="2"/>
  <c r="T42" i="2"/>
  <c r="S42" i="2"/>
  <c r="R42" i="2"/>
  <c r="Q42" i="2"/>
  <c r="P42" i="2"/>
  <c r="O42" i="2"/>
  <c r="N42" i="2"/>
  <c r="M42" i="2"/>
  <c r="L42" i="2"/>
  <c r="W41" i="2"/>
  <c r="V41" i="2"/>
  <c r="U41" i="2"/>
  <c r="T41" i="2"/>
  <c r="S41" i="2"/>
  <c r="R41" i="2"/>
  <c r="Q41" i="2"/>
  <c r="P41" i="2"/>
  <c r="O41" i="2"/>
  <c r="N41" i="2"/>
  <c r="M41" i="2"/>
  <c r="L41" i="2"/>
  <c r="W40" i="2"/>
  <c r="V40" i="2"/>
  <c r="U40" i="2"/>
  <c r="T40" i="2"/>
  <c r="S40" i="2"/>
  <c r="R40" i="2"/>
  <c r="Q40" i="2"/>
  <c r="P40" i="2"/>
  <c r="O40" i="2"/>
  <c r="N40" i="2"/>
  <c r="M40" i="2"/>
  <c r="L40" i="2"/>
  <c r="W39" i="2"/>
  <c r="V39" i="2"/>
  <c r="U39" i="2"/>
  <c r="T39" i="2"/>
  <c r="S39" i="2"/>
  <c r="R39" i="2"/>
  <c r="Q39" i="2"/>
  <c r="P39" i="2"/>
  <c r="O39" i="2"/>
  <c r="N39" i="2"/>
  <c r="M39" i="2"/>
  <c r="L39" i="2"/>
  <c r="W38" i="2"/>
  <c r="V38" i="2"/>
  <c r="U38" i="2"/>
  <c r="T38" i="2"/>
  <c r="S38" i="2"/>
  <c r="R38" i="2"/>
  <c r="Q38" i="2"/>
  <c r="P38" i="2"/>
  <c r="O38" i="2"/>
  <c r="N38" i="2"/>
  <c r="M38" i="2"/>
  <c r="L38" i="2"/>
  <c r="W37" i="2"/>
  <c r="V37" i="2"/>
  <c r="U37" i="2"/>
  <c r="T37" i="2"/>
  <c r="S37" i="2"/>
  <c r="R37" i="2"/>
  <c r="Q37" i="2"/>
  <c r="P37" i="2"/>
  <c r="O37" i="2"/>
  <c r="N37" i="2"/>
  <c r="M37" i="2"/>
  <c r="L37" i="2"/>
  <c r="W36" i="2"/>
  <c r="V36" i="2"/>
  <c r="U36" i="2"/>
  <c r="T36" i="2"/>
  <c r="S36" i="2"/>
  <c r="R36" i="2"/>
  <c r="Q36" i="2"/>
  <c r="P36" i="2"/>
  <c r="O36" i="2"/>
  <c r="N36" i="2"/>
  <c r="M36" i="2"/>
  <c r="L36" i="2"/>
  <c r="W35" i="2"/>
  <c r="V35" i="2"/>
  <c r="U35" i="2"/>
  <c r="T35" i="2"/>
  <c r="S35" i="2"/>
  <c r="R35" i="2"/>
  <c r="Q35" i="2"/>
  <c r="P35" i="2"/>
  <c r="O35" i="2"/>
  <c r="N35" i="2"/>
  <c r="M35" i="2"/>
  <c r="L35" i="2"/>
  <c r="W34" i="2"/>
  <c r="V34" i="2"/>
  <c r="U34" i="2"/>
  <c r="T34" i="2"/>
  <c r="S34" i="2"/>
  <c r="R34" i="2"/>
  <c r="Q34" i="2"/>
  <c r="P34" i="2"/>
  <c r="O34" i="2"/>
  <c r="N34" i="2"/>
  <c r="M34" i="2"/>
  <c r="L34" i="2"/>
  <c r="W33" i="2"/>
  <c r="V33" i="2"/>
  <c r="U33" i="2"/>
  <c r="T33" i="2"/>
  <c r="S33" i="2"/>
  <c r="R33" i="2"/>
  <c r="Q33" i="2"/>
  <c r="P33" i="2"/>
  <c r="O33" i="2"/>
  <c r="N33" i="2"/>
  <c r="M33" i="2"/>
  <c r="L33" i="2"/>
  <c r="W32" i="2"/>
  <c r="V32" i="2"/>
  <c r="U32" i="2"/>
  <c r="T32" i="2"/>
  <c r="S32" i="2"/>
  <c r="R32" i="2"/>
  <c r="Q32" i="2"/>
  <c r="P32" i="2"/>
  <c r="O32" i="2"/>
  <c r="N32" i="2"/>
  <c r="M32" i="2"/>
  <c r="L32" i="2"/>
  <c r="W31" i="2"/>
  <c r="V31" i="2"/>
  <c r="U31" i="2"/>
  <c r="T31" i="2"/>
  <c r="S31" i="2"/>
  <c r="R31" i="2"/>
  <c r="Q31" i="2"/>
  <c r="P31" i="2"/>
  <c r="O31" i="2"/>
  <c r="N31" i="2"/>
  <c r="M31" i="2"/>
  <c r="L31" i="2"/>
  <c r="W30" i="2"/>
  <c r="V30" i="2"/>
  <c r="U30" i="2"/>
  <c r="T30" i="2"/>
  <c r="S30" i="2"/>
  <c r="R30" i="2"/>
  <c r="Q30" i="2"/>
  <c r="P30" i="2"/>
  <c r="O30" i="2"/>
  <c r="N30" i="2"/>
  <c r="M30" i="2"/>
  <c r="L30" i="2"/>
  <c r="W29" i="2"/>
  <c r="V29" i="2"/>
  <c r="U29" i="2"/>
  <c r="T29" i="2"/>
  <c r="S29" i="2"/>
  <c r="R29" i="2"/>
  <c r="Q29" i="2"/>
  <c r="P29" i="2"/>
  <c r="O29" i="2"/>
  <c r="N29" i="2"/>
  <c r="M29" i="2"/>
  <c r="L29" i="2"/>
  <c r="W28" i="2"/>
  <c r="V28" i="2"/>
  <c r="U28" i="2"/>
  <c r="T28" i="2"/>
  <c r="S28" i="2"/>
  <c r="R28" i="2"/>
  <c r="Q28" i="2"/>
  <c r="P28" i="2"/>
  <c r="O28" i="2"/>
  <c r="N28" i="2"/>
  <c r="M28" i="2"/>
  <c r="L28" i="2"/>
  <c r="W27" i="2"/>
  <c r="V27" i="2"/>
  <c r="U27" i="2"/>
  <c r="T27" i="2"/>
  <c r="S27" i="2"/>
  <c r="R27" i="2"/>
  <c r="Q27" i="2"/>
  <c r="P27" i="2"/>
  <c r="O27" i="2"/>
  <c r="N27" i="2"/>
  <c r="M27" i="2"/>
  <c r="L27" i="2"/>
  <c r="W26" i="2"/>
  <c r="V26" i="2"/>
  <c r="U26" i="2"/>
  <c r="T26" i="2"/>
  <c r="S26" i="2"/>
  <c r="R26" i="2"/>
  <c r="Q26" i="2"/>
  <c r="P26" i="2"/>
  <c r="O26" i="2"/>
  <c r="N26" i="2"/>
  <c r="M26" i="2"/>
  <c r="L26" i="2"/>
  <c r="W25" i="2"/>
  <c r="V25" i="2"/>
  <c r="U25" i="2"/>
  <c r="T25" i="2"/>
  <c r="S25" i="2"/>
  <c r="R25" i="2"/>
  <c r="Q25" i="2"/>
  <c r="P25" i="2"/>
  <c r="O25" i="2"/>
  <c r="N25" i="2"/>
  <c r="M25" i="2"/>
  <c r="L25" i="2"/>
  <c r="W24" i="2"/>
  <c r="V24" i="2"/>
  <c r="U24" i="2"/>
  <c r="T24" i="2"/>
  <c r="S24" i="2"/>
  <c r="R24" i="2"/>
  <c r="Q24" i="2"/>
  <c r="P24" i="2"/>
  <c r="O24" i="2"/>
  <c r="N24" i="2"/>
  <c r="M24" i="2"/>
  <c r="L24" i="2"/>
  <c r="W23" i="2"/>
  <c r="V23" i="2"/>
  <c r="U23" i="2"/>
  <c r="T23" i="2"/>
  <c r="S23" i="2"/>
  <c r="R23" i="2"/>
  <c r="Q23" i="2"/>
  <c r="P23" i="2"/>
  <c r="O23" i="2"/>
  <c r="N23" i="2"/>
  <c r="M23" i="2"/>
  <c r="L23" i="2"/>
  <c r="W22" i="2"/>
  <c r="V22" i="2"/>
  <c r="U22" i="2"/>
  <c r="T22" i="2"/>
  <c r="S22" i="2"/>
  <c r="R22" i="2"/>
  <c r="Q22" i="2"/>
  <c r="P22" i="2"/>
  <c r="O22" i="2"/>
  <c r="N22" i="2"/>
  <c r="M22" i="2"/>
  <c r="L22" i="2"/>
  <c r="W21" i="2"/>
  <c r="V21" i="2"/>
  <c r="U21" i="2"/>
  <c r="T21" i="2"/>
  <c r="S21" i="2"/>
  <c r="R21" i="2"/>
  <c r="Q21" i="2"/>
  <c r="P21" i="2"/>
  <c r="O21" i="2"/>
  <c r="N21" i="2"/>
  <c r="M21" i="2"/>
  <c r="L21" i="2"/>
  <c r="W20" i="2"/>
  <c r="V20" i="2"/>
  <c r="U20" i="2"/>
  <c r="T20" i="2"/>
  <c r="S20" i="2"/>
  <c r="R20" i="2"/>
  <c r="Q20" i="2"/>
  <c r="P20" i="2"/>
  <c r="O20" i="2"/>
  <c r="N20" i="2"/>
  <c r="M20" i="2"/>
  <c r="L20" i="2"/>
  <c r="W19" i="2"/>
  <c r="V19" i="2"/>
  <c r="U19" i="2"/>
  <c r="T19" i="2"/>
  <c r="S19" i="2"/>
  <c r="R19" i="2"/>
  <c r="Q19" i="2"/>
  <c r="P19" i="2"/>
  <c r="O19" i="2"/>
  <c r="N19" i="2"/>
  <c r="M19" i="2"/>
  <c r="L19" i="2"/>
  <c r="W18" i="2"/>
  <c r="V18" i="2"/>
  <c r="U18" i="2"/>
  <c r="T18" i="2"/>
  <c r="S18" i="2"/>
  <c r="R18" i="2"/>
  <c r="Q18" i="2"/>
  <c r="P18" i="2"/>
  <c r="O18" i="2"/>
  <c r="N18" i="2"/>
  <c r="M18" i="2"/>
  <c r="L18" i="2"/>
  <c r="W17" i="2"/>
  <c r="V17" i="2"/>
  <c r="U17" i="2"/>
  <c r="T17" i="2"/>
  <c r="S17" i="2"/>
  <c r="R17" i="2"/>
  <c r="Q17" i="2"/>
  <c r="P17" i="2"/>
  <c r="O17" i="2"/>
  <c r="N17" i="2"/>
  <c r="M17" i="2"/>
  <c r="L17" i="2"/>
  <c r="W16" i="2"/>
  <c r="V16" i="2"/>
  <c r="U16" i="2"/>
  <c r="T16" i="2"/>
  <c r="S16" i="2"/>
  <c r="R16" i="2"/>
  <c r="Q16" i="2"/>
  <c r="P16" i="2"/>
  <c r="O16" i="2"/>
  <c r="N16" i="2"/>
  <c r="M16" i="2"/>
  <c r="L16" i="2"/>
  <c r="W15" i="2"/>
  <c r="V15" i="2"/>
  <c r="U15" i="2"/>
  <c r="T15" i="2"/>
  <c r="S15" i="2"/>
  <c r="R15" i="2"/>
  <c r="Q15" i="2"/>
  <c r="P15" i="2"/>
  <c r="O15" i="2"/>
  <c r="N15" i="2"/>
  <c r="M15" i="2"/>
  <c r="L15" i="2"/>
  <c r="W14" i="2"/>
  <c r="V14" i="2"/>
  <c r="U14" i="2"/>
  <c r="T14" i="2"/>
  <c r="S14" i="2"/>
  <c r="R14" i="2"/>
  <c r="Q14" i="2"/>
  <c r="P14" i="2"/>
  <c r="O14" i="2"/>
  <c r="N14" i="2"/>
  <c r="M14" i="2"/>
  <c r="L14" i="2"/>
  <c r="W13" i="2"/>
  <c r="V13" i="2"/>
  <c r="U13" i="2"/>
  <c r="T13" i="2"/>
  <c r="S13" i="2"/>
  <c r="R13" i="2"/>
  <c r="Q13" i="2"/>
  <c r="P13" i="2"/>
  <c r="O13" i="2"/>
  <c r="N13" i="2"/>
  <c r="M13" i="2"/>
  <c r="L13" i="2"/>
  <c r="W12" i="2"/>
  <c r="V12" i="2"/>
  <c r="U12" i="2"/>
  <c r="T12" i="2"/>
  <c r="S12" i="2"/>
  <c r="R12" i="2"/>
  <c r="Q12" i="2"/>
  <c r="P12" i="2"/>
  <c r="O12" i="2"/>
  <c r="N12" i="2"/>
  <c r="M12" i="2"/>
  <c r="L12" i="2"/>
  <c r="W11" i="2"/>
  <c r="V11" i="2"/>
  <c r="U11" i="2"/>
  <c r="T11" i="2"/>
  <c r="S11" i="2"/>
  <c r="R11" i="2"/>
  <c r="Q11" i="2"/>
  <c r="P11" i="2"/>
  <c r="O11" i="2"/>
  <c r="N11" i="2"/>
  <c r="M11" i="2"/>
  <c r="L11" i="2"/>
  <c r="G50" i="2"/>
  <c r="F50" i="2"/>
  <c r="E50" i="2"/>
  <c r="D50" i="2"/>
  <c r="C50" i="2"/>
  <c r="B50" i="2"/>
  <c r="G49" i="2"/>
  <c r="F49" i="2"/>
  <c r="E49" i="2"/>
  <c r="D49" i="2"/>
  <c r="C49" i="2"/>
  <c r="B49" i="2"/>
  <c r="G48" i="2"/>
  <c r="F48" i="2"/>
  <c r="E48" i="2"/>
  <c r="D48" i="2"/>
  <c r="C48" i="2"/>
  <c r="B48" i="2"/>
  <c r="G47" i="2"/>
  <c r="F47" i="2"/>
  <c r="E47" i="2"/>
  <c r="D47" i="2"/>
  <c r="C47" i="2"/>
  <c r="B47" i="2"/>
  <c r="G46" i="2"/>
  <c r="F46" i="2"/>
  <c r="E46" i="2"/>
  <c r="D46" i="2"/>
  <c r="C46" i="2"/>
  <c r="B46" i="2"/>
  <c r="G45" i="2"/>
  <c r="F45" i="2"/>
  <c r="E45" i="2"/>
  <c r="D45" i="2"/>
  <c r="C45" i="2"/>
  <c r="B45" i="2"/>
  <c r="G44" i="2"/>
  <c r="F44" i="2"/>
  <c r="E44" i="2"/>
  <c r="D44" i="2"/>
  <c r="C44" i="2"/>
  <c r="B44" i="2"/>
  <c r="G43" i="2"/>
  <c r="F43" i="2"/>
  <c r="E43" i="2"/>
  <c r="D43" i="2"/>
  <c r="C43" i="2"/>
  <c r="B43" i="2"/>
  <c r="G42" i="2"/>
  <c r="F42" i="2"/>
  <c r="E42" i="2"/>
  <c r="D42" i="2"/>
  <c r="C42" i="2"/>
  <c r="B42" i="2"/>
  <c r="G41" i="2"/>
  <c r="F41" i="2"/>
  <c r="E41" i="2"/>
  <c r="D41" i="2"/>
  <c r="C41" i="2"/>
  <c r="B41" i="2"/>
  <c r="G40" i="2"/>
  <c r="F40" i="2"/>
  <c r="E40" i="2"/>
  <c r="D40" i="2"/>
  <c r="C40" i="2"/>
  <c r="B40" i="2"/>
  <c r="G39" i="2"/>
  <c r="F39" i="2"/>
  <c r="E39" i="2"/>
  <c r="D39" i="2"/>
  <c r="C39" i="2"/>
  <c r="B39" i="2"/>
  <c r="G38" i="2"/>
  <c r="F38" i="2"/>
  <c r="E38" i="2"/>
  <c r="D38" i="2"/>
  <c r="C38" i="2"/>
  <c r="B38" i="2"/>
  <c r="G37" i="2"/>
  <c r="F37" i="2"/>
  <c r="E37" i="2"/>
  <c r="D37" i="2"/>
  <c r="C37" i="2"/>
  <c r="B37" i="2"/>
  <c r="G36" i="2"/>
  <c r="F36" i="2"/>
  <c r="E36" i="2"/>
  <c r="D36" i="2"/>
  <c r="C36" i="2"/>
  <c r="B36" i="2"/>
  <c r="G35" i="2"/>
  <c r="F35" i="2"/>
  <c r="E35" i="2"/>
  <c r="D35" i="2"/>
  <c r="C35" i="2"/>
  <c r="B35" i="2"/>
  <c r="G34" i="2"/>
  <c r="F34" i="2"/>
  <c r="E34" i="2"/>
  <c r="D34" i="2"/>
  <c r="C34" i="2"/>
  <c r="B34" i="2"/>
  <c r="G33" i="2"/>
  <c r="F33" i="2"/>
  <c r="E33" i="2"/>
  <c r="D33" i="2"/>
  <c r="C33" i="2"/>
  <c r="B33" i="2"/>
  <c r="G32" i="2"/>
  <c r="F32" i="2"/>
  <c r="E32" i="2"/>
  <c r="D32" i="2"/>
  <c r="C32" i="2"/>
  <c r="B32" i="2"/>
  <c r="G31" i="2"/>
  <c r="F31" i="2"/>
  <c r="E31" i="2"/>
  <c r="D31" i="2"/>
  <c r="C31" i="2"/>
  <c r="B31" i="2"/>
  <c r="G30" i="2"/>
  <c r="F30" i="2"/>
  <c r="E30" i="2"/>
  <c r="D30" i="2"/>
  <c r="C30" i="2"/>
  <c r="B30" i="2"/>
  <c r="G29" i="2"/>
  <c r="F29" i="2"/>
  <c r="E29" i="2"/>
  <c r="D29" i="2"/>
  <c r="C29" i="2"/>
  <c r="B29" i="2"/>
  <c r="G28" i="2"/>
  <c r="F28" i="2"/>
  <c r="E28" i="2"/>
  <c r="D28" i="2"/>
  <c r="C28" i="2"/>
  <c r="B28" i="2"/>
  <c r="G27" i="2"/>
  <c r="F27" i="2"/>
  <c r="E27" i="2"/>
  <c r="D27" i="2"/>
  <c r="C27" i="2"/>
  <c r="B27" i="2"/>
  <c r="G26" i="2"/>
  <c r="F26" i="2"/>
  <c r="E26" i="2"/>
  <c r="D26" i="2"/>
  <c r="C26" i="2"/>
  <c r="B26" i="2"/>
  <c r="G25" i="2"/>
  <c r="F25" i="2"/>
  <c r="E25" i="2"/>
  <c r="D25" i="2"/>
  <c r="C25" i="2"/>
  <c r="B25" i="2"/>
  <c r="G24" i="2"/>
  <c r="F24" i="2"/>
  <c r="E24" i="2"/>
  <c r="D24" i="2"/>
  <c r="C24" i="2"/>
  <c r="B24" i="2"/>
  <c r="G23" i="2"/>
  <c r="F23" i="2"/>
  <c r="E23" i="2"/>
  <c r="D23" i="2"/>
  <c r="C23" i="2"/>
  <c r="B23" i="2"/>
  <c r="G22" i="2"/>
  <c r="F22" i="2"/>
  <c r="E22" i="2"/>
  <c r="D22" i="2"/>
  <c r="C22" i="2"/>
  <c r="B22" i="2"/>
  <c r="G21" i="2"/>
  <c r="F21" i="2"/>
  <c r="E21" i="2"/>
  <c r="D21" i="2"/>
  <c r="C21" i="2"/>
  <c r="B21" i="2"/>
  <c r="G20" i="2"/>
  <c r="F20" i="2"/>
  <c r="E20" i="2"/>
  <c r="D20" i="2"/>
  <c r="C20" i="2"/>
  <c r="B20" i="2"/>
  <c r="G19" i="2"/>
  <c r="F19" i="2"/>
  <c r="E19" i="2"/>
  <c r="D19" i="2"/>
  <c r="C19" i="2"/>
  <c r="B19" i="2"/>
  <c r="G18" i="2"/>
  <c r="F18" i="2"/>
  <c r="E18" i="2"/>
  <c r="D18" i="2"/>
  <c r="C18" i="2"/>
  <c r="B18" i="2"/>
  <c r="G17" i="2"/>
  <c r="F17" i="2"/>
  <c r="E17" i="2"/>
  <c r="D17" i="2"/>
  <c r="C17" i="2"/>
  <c r="B17" i="2"/>
  <c r="G16" i="2"/>
  <c r="F16" i="2"/>
  <c r="E16" i="2"/>
  <c r="D16" i="2"/>
  <c r="C16" i="2"/>
  <c r="B16" i="2"/>
  <c r="G15" i="2"/>
  <c r="F15" i="2"/>
  <c r="E15" i="2"/>
  <c r="D15" i="2"/>
  <c r="C15" i="2"/>
  <c r="B15" i="2"/>
  <c r="G14" i="2"/>
  <c r="F14" i="2"/>
  <c r="E14" i="2"/>
  <c r="D14" i="2"/>
  <c r="C14" i="2"/>
  <c r="B14" i="2"/>
  <c r="G13" i="2"/>
  <c r="F13" i="2"/>
  <c r="E13" i="2"/>
  <c r="D13" i="2"/>
  <c r="C13" i="2"/>
  <c r="B13" i="2"/>
  <c r="G12" i="2"/>
  <c r="F12" i="2"/>
  <c r="E12" i="2"/>
  <c r="D12" i="2"/>
  <c r="C12" i="2"/>
  <c r="B12" i="2"/>
  <c r="G11" i="2"/>
  <c r="F11" i="2"/>
  <c r="E11" i="2"/>
  <c r="D11" i="2"/>
  <c r="C1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3" i="2"/>
  <c r="I13" i="2"/>
  <c r="J12" i="2"/>
  <c r="I12" i="2"/>
  <c r="J11" i="2"/>
  <c r="I11" i="2"/>
  <c r="B11" i="2"/>
  <c r="D18" i="1" l="1"/>
  <c r="D9" i="1"/>
  <c r="D21" i="1"/>
  <c r="P10" i="1"/>
  <c r="P73" i="2"/>
  <c r="I78" i="11" l="1"/>
  <c r="D15" i="1" l="1"/>
  <c r="D25" i="1" l="1"/>
  <c r="AK10" i="2"/>
  <c r="AL28" i="2" l="1"/>
  <c r="AL27" i="2" s="1"/>
  <c r="B15" i="15" l="1"/>
  <c r="D4" i="11" s="1"/>
  <c r="AL4" i="2"/>
  <c r="M4" i="11" s="1"/>
  <c r="AK14" i="2" l="1"/>
  <c r="B16" i="15"/>
  <c r="B17" i="15"/>
  <c r="F15" i="15"/>
  <c r="I90" i="2"/>
  <c r="J91" i="2" s="1"/>
  <c r="C4" i="11" l="1"/>
  <c r="A110" i="2"/>
  <c r="A109" i="2"/>
  <c r="C5" i="11" l="1"/>
  <c r="K4" i="11"/>
  <c r="L4" i="11" l="1"/>
  <c r="N4" i="11" s="1"/>
  <c r="C6" i="11"/>
  <c r="D5" i="11"/>
  <c r="AL5" i="2"/>
  <c r="AL6" i="2"/>
  <c r="H4" i="11" s="1"/>
  <c r="AL7" i="2"/>
  <c r="AK33" i="2"/>
  <c r="AL32" i="2" s="1"/>
  <c r="H5" i="11" l="1"/>
  <c r="C7" i="11"/>
  <c r="H6" i="11"/>
  <c r="D6" i="11"/>
  <c r="AK34" i="2"/>
  <c r="AL33" i="2" s="1"/>
  <c r="A3" i="15"/>
  <c r="AK35" i="2" l="1"/>
  <c r="AL35" i="2" s="1"/>
  <c r="C8" i="11"/>
  <c r="H7" i="11"/>
  <c r="D7" i="11"/>
  <c r="AL34" i="2"/>
  <c r="A108" i="2"/>
  <c r="B33" i="1" s="1"/>
  <c r="A107" i="2"/>
  <c r="A105" i="2"/>
  <c r="A103" i="2"/>
  <c r="P28" i="1" s="1"/>
  <c r="A101" i="2"/>
  <c r="A102" i="2"/>
  <c r="A100" i="2"/>
  <c r="A97" i="2"/>
  <c r="A98" i="2"/>
  <c r="A96" i="2"/>
  <c r="A95" i="2"/>
  <c r="A93" i="2"/>
  <c r="P24" i="1" s="1"/>
  <c r="P18" i="1" l="1"/>
  <c r="P21" i="1"/>
  <c r="D14" i="1"/>
  <c r="C9" i="11"/>
  <c r="H8" i="11"/>
  <c r="D16" i="1"/>
  <c r="D8" i="11"/>
  <c r="P15" i="1"/>
  <c r="P16" i="1"/>
  <c r="P14" i="1"/>
  <c r="B35" i="1"/>
  <c r="B37" i="1"/>
  <c r="B34" i="1"/>
  <c r="B36" i="1"/>
  <c r="J94" i="2" l="1"/>
  <c r="J96" i="2"/>
  <c r="J97" i="2"/>
  <c r="C10" i="11"/>
  <c r="H9" i="11"/>
  <c r="D9" i="11"/>
  <c r="B5" i="11"/>
  <c r="M5" i="11" s="1"/>
  <c r="J5" i="11" l="1"/>
  <c r="J4" i="11"/>
  <c r="P7" i="1"/>
  <c r="C11" i="11"/>
  <c r="H10" i="11"/>
  <c r="D10" i="11"/>
  <c r="K5" i="11"/>
  <c r="B6" i="11"/>
  <c r="M6" i="11" s="1"/>
  <c r="A4" i="15"/>
  <c r="J6" i="11" l="1"/>
  <c r="L5" i="11"/>
  <c r="N5" i="11" s="1"/>
  <c r="H11" i="11"/>
  <c r="C12" i="11"/>
  <c r="D11" i="11"/>
  <c r="K6" i="11"/>
  <c r="B7" i="11"/>
  <c r="A6" i="15"/>
  <c r="A5" i="15"/>
  <c r="M7" i="11" l="1"/>
  <c r="J7" i="11"/>
  <c r="L6" i="11"/>
  <c r="N6" i="11" s="1"/>
  <c r="H12" i="11"/>
  <c r="C13" i="11"/>
  <c r="D12" i="11"/>
  <c r="K7" i="11"/>
  <c r="B8" i="11"/>
  <c r="M8" i="11" l="1"/>
  <c r="J8" i="11"/>
  <c r="L7" i="11"/>
  <c r="N7" i="11" s="1"/>
  <c r="H13" i="11"/>
  <c r="C14" i="11"/>
  <c r="D13" i="11"/>
  <c r="K8" i="11"/>
  <c r="B9" i="11"/>
  <c r="A8" i="15"/>
  <c r="A7" i="15"/>
  <c r="M9" i="11" l="1"/>
  <c r="J9" i="11"/>
  <c r="L8" i="11"/>
  <c r="N8" i="11" s="1"/>
  <c r="H14" i="11"/>
  <c r="C15" i="11"/>
  <c r="D14" i="11"/>
  <c r="K9" i="11"/>
  <c r="B10" i="11"/>
  <c r="A9" i="15"/>
  <c r="M10" i="11" l="1"/>
  <c r="J10" i="11"/>
  <c r="L9" i="11"/>
  <c r="N9" i="11" s="1"/>
  <c r="H15" i="11"/>
  <c r="C16" i="11"/>
  <c r="D15" i="11"/>
  <c r="K10" i="11"/>
  <c r="B11" i="11"/>
  <c r="M11" i="11" l="1"/>
  <c r="J11" i="11"/>
  <c r="L10" i="11"/>
  <c r="N10" i="11" s="1"/>
  <c r="H16" i="11"/>
  <c r="C17" i="11"/>
  <c r="D16" i="11"/>
  <c r="K11" i="11"/>
  <c r="B12" i="11"/>
  <c r="A10" i="15"/>
  <c r="M12" i="11" l="1"/>
  <c r="J12" i="11"/>
  <c r="L11" i="11"/>
  <c r="N11" i="11" s="1"/>
  <c r="H17" i="11"/>
  <c r="C18" i="11"/>
  <c r="D17" i="11"/>
  <c r="K12" i="11"/>
  <c r="B13" i="11"/>
  <c r="A11" i="15"/>
  <c r="M13" i="11" l="1"/>
  <c r="J13" i="11"/>
  <c r="L12" i="11"/>
  <c r="N12" i="11" s="1"/>
  <c r="H18" i="11"/>
  <c r="C19" i="11"/>
  <c r="D18" i="11"/>
  <c r="K13" i="11"/>
  <c r="B14" i="11"/>
  <c r="A12" i="15"/>
  <c r="M14" i="11" l="1"/>
  <c r="J14" i="11"/>
  <c r="L13" i="11"/>
  <c r="N13" i="11" s="1"/>
  <c r="H19" i="11"/>
  <c r="C20" i="11"/>
  <c r="D19" i="11"/>
  <c r="B15" i="11"/>
  <c r="M15" i="11" l="1"/>
  <c r="J15" i="11"/>
  <c r="H20" i="11"/>
  <c r="C21" i="11"/>
  <c r="D20" i="11"/>
  <c r="K14" i="11"/>
  <c r="B16" i="11"/>
  <c r="M16" i="11" l="1"/>
  <c r="J16" i="11"/>
  <c r="L14" i="11"/>
  <c r="N14" i="11" s="1"/>
  <c r="H21" i="11"/>
  <c r="C22" i="11"/>
  <c r="D21" i="11"/>
  <c r="K15" i="11"/>
  <c r="L15" i="11" l="1"/>
  <c r="N15" i="11" s="1"/>
  <c r="H22" i="11"/>
  <c r="C23" i="11"/>
  <c r="D22" i="11"/>
  <c r="K16" i="11"/>
  <c r="B17" i="11"/>
  <c r="M17" i="11" l="1"/>
  <c r="J17" i="11"/>
  <c r="L16" i="11"/>
  <c r="N16" i="11" s="1"/>
  <c r="H23" i="11"/>
  <c r="C24" i="11"/>
  <c r="D23" i="11"/>
  <c r="K17" i="11"/>
  <c r="B18" i="11"/>
  <c r="M18" i="11" l="1"/>
  <c r="J18" i="11"/>
  <c r="L17" i="11"/>
  <c r="N17" i="11" s="1"/>
  <c r="H24" i="11"/>
  <c r="C25" i="11"/>
  <c r="D24" i="11"/>
  <c r="K18" i="11"/>
  <c r="B19" i="11"/>
  <c r="M19" i="11" l="1"/>
  <c r="J19" i="11"/>
  <c r="L18" i="11"/>
  <c r="N18" i="11" s="1"/>
  <c r="H25" i="11"/>
  <c r="C26" i="11"/>
  <c r="D25" i="11"/>
  <c r="B20" i="11"/>
  <c r="M20" i="11" l="1"/>
  <c r="J20" i="11"/>
  <c r="H26" i="11"/>
  <c r="C27" i="11"/>
  <c r="D26" i="11"/>
  <c r="K19" i="11"/>
  <c r="B21" i="11"/>
  <c r="M21" i="11" l="1"/>
  <c r="J21" i="11"/>
  <c r="L19" i="11"/>
  <c r="N19" i="11" s="1"/>
  <c r="H27" i="11"/>
  <c r="C28" i="11"/>
  <c r="D27" i="11"/>
  <c r="K20" i="11"/>
  <c r="K21" i="11"/>
  <c r="B22" i="11"/>
  <c r="M22" i="11" l="1"/>
  <c r="J22" i="11"/>
  <c r="L21" i="11"/>
  <c r="N21" i="11" s="1"/>
  <c r="L20" i="11"/>
  <c r="N20" i="11" s="1"/>
  <c r="H28" i="11"/>
  <c r="C29" i="11"/>
  <c r="D28" i="11"/>
  <c r="K22" i="11"/>
  <c r="B23" i="11"/>
  <c r="M23" i="11" l="1"/>
  <c r="J23" i="11"/>
  <c r="L22" i="11"/>
  <c r="N22" i="11" s="1"/>
  <c r="H29" i="11"/>
  <c r="C30" i="11"/>
  <c r="D29" i="11"/>
  <c r="K23" i="11"/>
  <c r="B24" i="11"/>
  <c r="M24" i="11" l="1"/>
  <c r="J24" i="11"/>
  <c r="L23" i="11"/>
  <c r="N23" i="11" s="1"/>
  <c r="H30" i="11"/>
  <c r="C31" i="11"/>
  <c r="D30" i="11"/>
  <c r="K24" i="11"/>
  <c r="B25" i="11"/>
  <c r="M25" i="11" l="1"/>
  <c r="J25" i="11"/>
  <c r="L24" i="11"/>
  <c r="N24" i="11" s="1"/>
  <c r="H31" i="11"/>
  <c r="C32" i="11"/>
  <c r="D31" i="11"/>
  <c r="K25" i="11"/>
  <c r="B26" i="11"/>
  <c r="M26" i="11" l="1"/>
  <c r="J26" i="11"/>
  <c r="L25" i="11"/>
  <c r="N25" i="11" s="1"/>
  <c r="H32" i="11"/>
  <c r="C33" i="11"/>
  <c r="D32" i="11"/>
  <c r="K26" i="11"/>
  <c r="B27" i="11"/>
  <c r="M27" i="11" l="1"/>
  <c r="J27" i="11"/>
  <c r="L26" i="11"/>
  <c r="N26" i="11" s="1"/>
  <c r="H33" i="11"/>
  <c r="C34" i="11"/>
  <c r="D33" i="11"/>
  <c r="K27" i="11"/>
  <c r="B28" i="11"/>
  <c r="M28" i="11" l="1"/>
  <c r="J28" i="11"/>
  <c r="L27" i="11"/>
  <c r="N27" i="11" s="1"/>
  <c r="H34" i="11"/>
  <c r="C35" i="11"/>
  <c r="D34" i="11"/>
  <c r="K28" i="11"/>
  <c r="B29" i="11"/>
  <c r="M29" i="11" l="1"/>
  <c r="J29" i="11"/>
  <c r="L28" i="11"/>
  <c r="N28" i="11" s="1"/>
  <c r="H35" i="11"/>
  <c r="C36" i="11"/>
  <c r="D35" i="11"/>
  <c r="B30" i="11"/>
  <c r="M30" i="11" l="1"/>
  <c r="J30" i="11"/>
  <c r="H36" i="11"/>
  <c r="C37" i="11"/>
  <c r="D36" i="11"/>
  <c r="K29" i="11"/>
  <c r="B31" i="11"/>
  <c r="M31" i="11" l="1"/>
  <c r="J31" i="11"/>
  <c r="L29" i="11"/>
  <c r="N29" i="11" s="1"/>
  <c r="H37" i="11"/>
  <c r="C38" i="11"/>
  <c r="D37" i="11"/>
  <c r="K30" i="11"/>
  <c r="B32" i="11"/>
  <c r="J32" i="11" l="1"/>
  <c r="M32" i="11" s="1"/>
  <c r="L30" i="11"/>
  <c r="N30" i="11" s="1"/>
  <c r="H38" i="11"/>
  <c r="C39" i="11"/>
  <c r="D38" i="11"/>
  <c r="K31" i="11"/>
  <c r="B33" i="11"/>
  <c r="K32" i="11" l="1"/>
  <c r="L32" i="11" s="1"/>
  <c r="N32" i="11" s="1"/>
  <c r="J33" i="11"/>
  <c r="M33" i="11" s="1"/>
  <c r="L31" i="11"/>
  <c r="N31" i="11" s="1"/>
  <c r="H39" i="11"/>
  <c r="C40" i="11"/>
  <c r="D39" i="11"/>
  <c r="B34" i="11"/>
  <c r="J34" i="11" s="1"/>
  <c r="M34" i="11" l="1"/>
  <c r="H40" i="11"/>
  <c r="C41" i="11"/>
  <c r="D40" i="11"/>
  <c r="K33" i="11"/>
  <c r="K34" i="11"/>
  <c r="B35" i="11"/>
  <c r="J35" i="11" s="1"/>
  <c r="L33" i="11" l="1"/>
  <c r="N33" i="11" s="1"/>
  <c r="L34" i="11"/>
  <c r="N34" i="11" s="1"/>
  <c r="H41" i="11"/>
  <c r="C42" i="11"/>
  <c r="D41" i="11"/>
  <c r="K35" i="11"/>
  <c r="B36" i="11"/>
  <c r="J36" i="11" s="1"/>
  <c r="M35" i="11" l="1"/>
  <c r="L35" i="11"/>
  <c r="H42" i="11"/>
  <c r="C43" i="11"/>
  <c r="D42" i="11"/>
  <c r="K36" i="11"/>
  <c r="B37" i="11"/>
  <c r="J37" i="11" s="1"/>
  <c r="N35" i="11" l="1"/>
  <c r="M36" i="11"/>
  <c r="L36" i="11"/>
  <c r="H43" i="11"/>
  <c r="C44" i="11"/>
  <c r="D43" i="11"/>
  <c r="K37" i="11"/>
  <c r="B38" i="11"/>
  <c r="J38" i="11" s="1"/>
  <c r="N36" i="11" l="1"/>
  <c r="M37" i="11"/>
  <c r="L37" i="11"/>
  <c r="H44" i="11"/>
  <c r="C45" i="11"/>
  <c r="D44" i="11"/>
  <c r="K38" i="11"/>
  <c r="B39" i="11"/>
  <c r="J39" i="11" l="1"/>
  <c r="M39" i="11" s="1"/>
  <c r="N37" i="11"/>
  <c r="M38" i="11"/>
  <c r="L38" i="11"/>
  <c r="D45" i="11"/>
  <c r="H45" i="11"/>
  <c r="C46" i="11"/>
  <c r="K39" i="11"/>
  <c r="B40" i="11"/>
  <c r="J40" i="11" l="1"/>
  <c r="M40" i="11" s="1"/>
  <c r="N38" i="11"/>
  <c r="L39" i="11"/>
  <c r="N39" i="11" s="1"/>
  <c r="H46" i="11"/>
  <c r="C47" i="11"/>
  <c r="D46" i="11"/>
  <c r="B41" i="11"/>
  <c r="J41" i="11" l="1"/>
  <c r="K41" i="11" s="1"/>
  <c r="D47" i="11"/>
  <c r="H47" i="11"/>
  <c r="C48" i="11"/>
  <c r="K40" i="11"/>
  <c r="B42" i="11"/>
  <c r="M41" i="11" l="1"/>
  <c r="J42" i="11"/>
  <c r="M42" i="11" s="1"/>
  <c r="L41" i="11"/>
  <c r="L40" i="11"/>
  <c r="N40" i="11" s="1"/>
  <c r="H48" i="11"/>
  <c r="C49" i="11"/>
  <c r="D48" i="11"/>
  <c r="B43" i="11"/>
  <c r="N41" i="11" l="1"/>
  <c r="K42" i="11"/>
  <c r="L42" i="11" s="1"/>
  <c r="J43" i="11"/>
  <c r="M43" i="11" s="1"/>
  <c r="D49" i="11"/>
  <c r="H49" i="11"/>
  <c r="C50" i="11"/>
  <c r="B44" i="11"/>
  <c r="N42" i="11" l="1"/>
  <c r="J44" i="11"/>
  <c r="M44" i="11" s="1"/>
  <c r="E44" i="11"/>
  <c r="F44" i="11" s="1"/>
  <c r="G44" i="11" s="1"/>
  <c r="D50" i="11"/>
  <c r="H50" i="11"/>
  <c r="C51" i="11"/>
  <c r="K43" i="11"/>
  <c r="K44" i="11"/>
  <c r="B45" i="11"/>
  <c r="J45" i="11" l="1"/>
  <c r="M45" i="11" s="1"/>
  <c r="L44" i="11"/>
  <c r="N44" i="11" s="1"/>
  <c r="L43" i="11"/>
  <c r="N43" i="11" s="1"/>
  <c r="I44" i="11"/>
  <c r="E45" i="11"/>
  <c r="F45" i="11" s="1"/>
  <c r="G45" i="11" s="1"/>
  <c r="H51" i="11"/>
  <c r="C52" i="11"/>
  <c r="D51" i="11"/>
  <c r="K45" i="11"/>
  <c r="B46" i="11"/>
  <c r="J46" i="11" l="1"/>
  <c r="M46" i="11" s="1"/>
  <c r="L45" i="11"/>
  <c r="N45" i="11" s="1"/>
  <c r="I45" i="11"/>
  <c r="E46" i="11"/>
  <c r="F46" i="11" s="1"/>
  <c r="G46" i="11" s="1"/>
  <c r="H52" i="11"/>
  <c r="D52" i="11"/>
  <c r="C53" i="11"/>
  <c r="K46" i="11"/>
  <c r="B47" i="11"/>
  <c r="M47" i="11" l="1"/>
  <c r="J47" i="11"/>
  <c r="L46" i="11"/>
  <c r="N46" i="11" s="1"/>
  <c r="I46" i="11"/>
  <c r="E47" i="11"/>
  <c r="F47" i="11" s="1"/>
  <c r="G47" i="11" s="1"/>
  <c r="H53" i="11"/>
  <c r="D53" i="11"/>
  <c r="C54" i="11"/>
  <c r="L54" i="11" s="1"/>
  <c r="K47" i="11"/>
  <c r="B48" i="11"/>
  <c r="M48" i="11" l="1"/>
  <c r="J48" i="11"/>
  <c r="L47" i="11"/>
  <c r="N47" i="11" s="1"/>
  <c r="I47" i="11"/>
  <c r="E48" i="11"/>
  <c r="F48" i="11" s="1"/>
  <c r="G48" i="11" s="1"/>
  <c r="H54" i="11"/>
  <c r="C55" i="11"/>
  <c r="L55" i="11" s="1"/>
  <c r="D54" i="11"/>
  <c r="K48" i="11"/>
  <c r="Q46" i="11"/>
  <c r="Q44" i="11"/>
  <c r="B49" i="11"/>
  <c r="M49" i="11" l="1"/>
  <c r="J49" i="11"/>
  <c r="L48" i="11"/>
  <c r="N48" i="11" s="1"/>
  <c r="P47" i="11"/>
  <c r="I48" i="11"/>
  <c r="E49" i="11"/>
  <c r="F49" i="11" s="1"/>
  <c r="G49" i="11" s="1"/>
  <c r="H55" i="11"/>
  <c r="C56" i="11"/>
  <c r="L56" i="11" s="1"/>
  <c r="D55" i="11"/>
  <c r="K49" i="11"/>
  <c r="Q45" i="11"/>
  <c r="B50" i="11"/>
  <c r="M50" i="11" l="1"/>
  <c r="J50" i="11"/>
  <c r="L49" i="11"/>
  <c r="N49" i="11" s="1"/>
  <c r="P48" i="11"/>
  <c r="I49" i="11"/>
  <c r="E50" i="11"/>
  <c r="F50" i="11" s="1"/>
  <c r="G50" i="11" s="1"/>
  <c r="H56" i="11"/>
  <c r="D56" i="11"/>
  <c r="C57" i="11"/>
  <c r="L57" i="11" s="1"/>
  <c r="Q47" i="11"/>
  <c r="B51" i="11"/>
  <c r="M51" i="11" l="1"/>
  <c r="J51" i="11"/>
  <c r="I50" i="11"/>
  <c r="E51" i="11"/>
  <c r="F51" i="11" s="1"/>
  <c r="G51" i="11" s="1"/>
  <c r="H57" i="11"/>
  <c r="D57" i="11"/>
  <c r="C58" i="11"/>
  <c r="L58" i="11" s="1"/>
  <c r="K50" i="11"/>
  <c r="K51" i="11"/>
  <c r="P49" i="11"/>
  <c r="B52" i="11"/>
  <c r="M52" i="11" l="1"/>
  <c r="J52" i="11"/>
  <c r="L50" i="11"/>
  <c r="N50" i="11" s="1"/>
  <c r="Q50" i="11" s="1"/>
  <c r="L51" i="11"/>
  <c r="N51" i="11" s="1"/>
  <c r="P50" i="11"/>
  <c r="I51" i="11"/>
  <c r="E52" i="11"/>
  <c r="F52" i="11" s="1"/>
  <c r="G52" i="11" s="1"/>
  <c r="H58" i="11"/>
  <c r="D58" i="11"/>
  <c r="C59" i="11"/>
  <c r="L59" i="11" s="1"/>
  <c r="Q49" i="11"/>
  <c r="K52" i="11"/>
  <c r="O50" i="11"/>
  <c r="O49" i="11"/>
  <c r="Q48" i="11"/>
  <c r="B53" i="11"/>
  <c r="M53" i="11" l="1"/>
  <c r="J53" i="11"/>
  <c r="L52" i="11"/>
  <c r="N52" i="11" s="1"/>
  <c r="O51" i="11"/>
  <c r="P51" i="11"/>
  <c r="I52" i="11"/>
  <c r="E53" i="11"/>
  <c r="F53" i="11" s="1"/>
  <c r="G53" i="11" s="1"/>
  <c r="H59" i="11"/>
  <c r="D59" i="11"/>
  <c r="C60" i="11"/>
  <c r="L60" i="11" s="1"/>
  <c r="K53" i="11"/>
  <c r="B54" i="11"/>
  <c r="J54" i="11" s="1"/>
  <c r="M54" i="11" l="1"/>
  <c r="G54" i="11"/>
  <c r="N54" i="11"/>
  <c r="L53" i="11"/>
  <c r="N53" i="11" s="1"/>
  <c r="P54" i="11"/>
  <c r="I53" i="11"/>
  <c r="E54" i="11"/>
  <c r="F54" i="11" s="1"/>
  <c r="H60" i="11"/>
  <c r="D60" i="11"/>
  <c r="C61" i="11"/>
  <c r="L61" i="11" s="1"/>
  <c r="K54" i="11"/>
  <c r="B55" i="11"/>
  <c r="J55" i="11" s="1"/>
  <c r="M55" i="11" l="1"/>
  <c r="G55" i="11"/>
  <c r="N55" i="11"/>
  <c r="P55" i="11"/>
  <c r="Q51" i="11"/>
  <c r="P52" i="11"/>
  <c r="P53" i="11"/>
  <c r="I54" i="11"/>
  <c r="E55" i="11"/>
  <c r="H61" i="11"/>
  <c r="D61" i="11"/>
  <c r="C62" i="11"/>
  <c r="L62" i="11" s="1"/>
  <c r="F55" i="11"/>
  <c r="Q52" i="11"/>
  <c r="K55" i="11"/>
  <c r="O52" i="11"/>
  <c r="O53" i="11"/>
  <c r="B56" i="11"/>
  <c r="J56" i="11" s="1"/>
  <c r="M56" i="11" l="1"/>
  <c r="G56" i="11"/>
  <c r="N56" i="11"/>
  <c r="P56" i="11"/>
  <c r="I55" i="11"/>
  <c r="E56" i="11"/>
  <c r="F56" i="11" s="1"/>
  <c r="H62" i="11"/>
  <c r="C63" i="11"/>
  <c r="L63" i="11" s="1"/>
  <c r="D62" i="11"/>
  <c r="K56" i="11"/>
  <c r="O55" i="11"/>
  <c r="O54" i="11"/>
  <c r="Q53" i="11"/>
  <c r="B57" i="11"/>
  <c r="J57" i="11" s="1"/>
  <c r="M57" i="11" l="1"/>
  <c r="G57" i="11"/>
  <c r="N57" i="11"/>
  <c r="P57" i="11"/>
  <c r="I56" i="11"/>
  <c r="E57" i="11"/>
  <c r="F57" i="11" s="1"/>
  <c r="H63" i="11"/>
  <c r="D63" i="11"/>
  <c r="C64" i="11"/>
  <c r="L64" i="11" s="1"/>
  <c r="Q54" i="11"/>
  <c r="K57" i="11"/>
  <c r="O56" i="11"/>
  <c r="B58" i="11"/>
  <c r="J58" i="11" s="1"/>
  <c r="M58" i="11" l="1"/>
  <c r="G58" i="11"/>
  <c r="N58" i="11"/>
  <c r="P58" i="11"/>
  <c r="I57" i="11"/>
  <c r="E58" i="11"/>
  <c r="F58" i="11" s="1"/>
  <c r="H64" i="11"/>
  <c r="D64" i="11"/>
  <c r="C65" i="11"/>
  <c r="L65" i="11" s="1"/>
  <c r="K58" i="11"/>
  <c r="Q56" i="11"/>
  <c r="Q55" i="11"/>
  <c r="B59" i="11"/>
  <c r="J59" i="11" s="1"/>
  <c r="M59" i="11" l="1"/>
  <c r="G59" i="11"/>
  <c r="N59" i="11"/>
  <c r="P59" i="11"/>
  <c r="I58" i="11"/>
  <c r="E59" i="11"/>
  <c r="F59" i="11" s="1"/>
  <c r="H65" i="11"/>
  <c r="D65" i="11"/>
  <c r="C66" i="11"/>
  <c r="L66" i="11" s="1"/>
  <c r="K59" i="11"/>
  <c r="O58" i="11"/>
  <c r="O57" i="11"/>
  <c r="B60" i="11"/>
  <c r="J60" i="11" s="1"/>
  <c r="M60" i="11" l="1"/>
  <c r="G60" i="11"/>
  <c r="N60" i="11"/>
  <c r="P60" i="11"/>
  <c r="I59" i="11"/>
  <c r="E60" i="11"/>
  <c r="F60" i="11" s="1"/>
  <c r="H66" i="11"/>
  <c r="C67" i="11"/>
  <c r="L67" i="11" s="1"/>
  <c r="D66" i="11"/>
  <c r="K60" i="11"/>
  <c r="O59" i="11"/>
  <c r="Q57" i="11"/>
  <c r="B61" i="11"/>
  <c r="J61" i="11" s="1"/>
  <c r="Q58" i="11"/>
  <c r="M61" i="11" l="1"/>
  <c r="G61" i="11"/>
  <c r="N61" i="11"/>
  <c r="P61" i="11"/>
  <c r="I60" i="11"/>
  <c r="E61" i="11"/>
  <c r="H67" i="11"/>
  <c r="D67" i="11"/>
  <c r="C68" i="11"/>
  <c r="L68" i="11" s="1"/>
  <c r="F61" i="11"/>
  <c r="K61" i="11"/>
  <c r="Q60" i="11"/>
  <c r="O60" i="11"/>
  <c r="B62" i="11"/>
  <c r="J62" i="11" s="1"/>
  <c r="M62" i="11" l="1"/>
  <c r="G62" i="11"/>
  <c r="N62" i="11"/>
  <c r="P62" i="11"/>
  <c r="I61" i="11"/>
  <c r="E62" i="11"/>
  <c r="F62" i="11" s="1"/>
  <c r="H68" i="11"/>
  <c r="C69" i="11"/>
  <c r="L69" i="11" s="1"/>
  <c r="D68" i="11"/>
  <c r="O61" i="11"/>
  <c r="K62" i="11"/>
  <c r="B63" i="11"/>
  <c r="J63" i="11" s="1"/>
  <c r="Q59" i="11"/>
  <c r="M63" i="11" l="1"/>
  <c r="G63" i="11"/>
  <c r="N63" i="11"/>
  <c r="P63" i="11"/>
  <c r="I62" i="11"/>
  <c r="E63" i="11"/>
  <c r="H69" i="11"/>
  <c r="D69" i="11"/>
  <c r="C70" i="11"/>
  <c r="L70" i="11" s="1"/>
  <c r="F63" i="11"/>
  <c r="K63" i="11"/>
  <c r="Q61" i="11"/>
  <c r="O62" i="11"/>
  <c r="Q62" i="11"/>
  <c r="B64" i="11"/>
  <c r="J64" i="11" s="1"/>
  <c r="M64" i="11" l="1"/>
  <c r="G64" i="11"/>
  <c r="N64" i="11"/>
  <c r="P64" i="11"/>
  <c r="I63" i="11"/>
  <c r="E64" i="11"/>
  <c r="F64" i="11" s="1"/>
  <c r="K64" i="11"/>
  <c r="H70" i="11"/>
  <c r="C71" i="11"/>
  <c r="L71" i="11" s="1"/>
  <c r="D70" i="11"/>
  <c r="O63" i="11"/>
  <c r="B65" i="11"/>
  <c r="J65" i="11" s="1"/>
  <c r="M65" i="11" l="1"/>
  <c r="G65" i="11"/>
  <c r="N65" i="11"/>
  <c r="P65" i="11"/>
  <c r="I64" i="11"/>
  <c r="E65" i="11"/>
  <c r="H71" i="11"/>
  <c r="D71" i="11"/>
  <c r="C72" i="11"/>
  <c r="L72" i="11" s="1"/>
  <c r="K65" i="11"/>
  <c r="F65" i="11"/>
  <c r="O64" i="11"/>
  <c r="B66" i="11"/>
  <c r="J66" i="11" s="1"/>
  <c r="M66" i="11" l="1"/>
  <c r="G66" i="11"/>
  <c r="N66" i="11"/>
  <c r="P66" i="11"/>
  <c r="I65" i="11"/>
  <c r="E66" i="11"/>
  <c r="K66" i="11"/>
  <c r="F66" i="11"/>
  <c r="H72" i="11"/>
  <c r="D72" i="11"/>
  <c r="C73" i="11"/>
  <c r="L73" i="11" s="1"/>
  <c r="Q63" i="11"/>
  <c r="O65" i="11"/>
  <c r="B67" i="11"/>
  <c r="J67" i="11" s="1"/>
  <c r="M67" i="11" l="1"/>
  <c r="G67" i="11"/>
  <c r="N67" i="11"/>
  <c r="P67" i="11"/>
  <c r="I66" i="11"/>
  <c r="E67" i="11"/>
  <c r="K67" i="11"/>
  <c r="F67" i="11"/>
  <c r="H73" i="11"/>
  <c r="D73" i="11"/>
  <c r="C74" i="11"/>
  <c r="L74" i="11" s="1"/>
  <c r="Q64" i="11"/>
  <c r="O66" i="11"/>
  <c r="B68" i="11"/>
  <c r="J68" i="11" s="1"/>
  <c r="M68" i="11" l="1"/>
  <c r="G68" i="11"/>
  <c r="N68" i="11"/>
  <c r="P68" i="11"/>
  <c r="I67" i="11"/>
  <c r="E68" i="11"/>
  <c r="H74" i="11"/>
  <c r="D74" i="11"/>
  <c r="C75" i="11"/>
  <c r="L75" i="11" s="1"/>
  <c r="K68" i="11"/>
  <c r="F68" i="11"/>
  <c r="Q65" i="11"/>
  <c r="O67" i="11"/>
  <c r="Q67" i="11"/>
  <c r="B69" i="11"/>
  <c r="J69" i="11" s="1"/>
  <c r="M69" i="11" l="1"/>
  <c r="G69" i="11"/>
  <c r="N69" i="11"/>
  <c r="P69" i="11"/>
  <c r="I68" i="11"/>
  <c r="E69" i="11"/>
  <c r="F69" i="11" s="1"/>
  <c r="H75" i="11"/>
  <c r="D75" i="11"/>
  <c r="C76" i="11"/>
  <c r="L76" i="11" s="1"/>
  <c r="K69" i="11"/>
  <c r="Q66" i="11"/>
  <c r="O68" i="11"/>
  <c r="B70" i="11"/>
  <c r="J70" i="11" s="1"/>
  <c r="M70" i="11" l="1"/>
  <c r="G70" i="11"/>
  <c r="N70" i="11"/>
  <c r="P70" i="11"/>
  <c r="I69" i="11"/>
  <c r="E70" i="11"/>
  <c r="K70" i="11"/>
  <c r="F70" i="11"/>
  <c r="H76" i="11"/>
  <c r="D76" i="11"/>
  <c r="C77" i="11"/>
  <c r="L77" i="11" s="1"/>
  <c r="O69" i="11"/>
  <c r="Q68" i="11"/>
  <c r="B71" i="11"/>
  <c r="J71" i="11" s="1"/>
  <c r="M71" i="11" l="1"/>
  <c r="G71" i="11"/>
  <c r="N71" i="11"/>
  <c r="P71" i="11"/>
  <c r="I70" i="11"/>
  <c r="E71" i="11"/>
  <c r="F71" i="11" s="1"/>
  <c r="H77" i="11"/>
  <c r="C78" i="11"/>
  <c r="L78" i="11" s="1"/>
  <c r="D77" i="11"/>
  <c r="K71" i="11"/>
  <c r="Q70" i="11"/>
  <c r="Q69" i="11"/>
  <c r="O70" i="11"/>
  <c r="B72" i="11"/>
  <c r="J72" i="11" s="1"/>
  <c r="M72" i="11" l="1"/>
  <c r="G72" i="11"/>
  <c r="N72" i="11"/>
  <c r="P72" i="11"/>
  <c r="I71" i="11"/>
  <c r="E72" i="11"/>
  <c r="F72" i="11" s="1"/>
  <c r="K72" i="11"/>
  <c r="H78" i="11"/>
  <c r="D78" i="11"/>
  <c r="O71" i="11"/>
  <c r="B73" i="11"/>
  <c r="J73" i="11" s="1"/>
  <c r="M73" i="11" l="1"/>
  <c r="G73" i="11"/>
  <c r="N73" i="11"/>
  <c r="P73" i="11"/>
  <c r="I72" i="11"/>
  <c r="E73" i="11"/>
  <c r="K73" i="11"/>
  <c r="F73" i="11"/>
  <c r="O72" i="11"/>
  <c r="Q71" i="11"/>
  <c r="B74" i="11"/>
  <c r="J74" i="11" s="1"/>
  <c r="M74" i="11" l="1"/>
  <c r="G74" i="11"/>
  <c r="N74" i="11"/>
  <c r="P74" i="11"/>
  <c r="I73" i="11"/>
  <c r="E74" i="11"/>
  <c r="K74" i="11"/>
  <c r="F74" i="11"/>
  <c r="Q72" i="11"/>
  <c r="O73" i="11"/>
  <c r="B75" i="11"/>
  <c r="J75" i="11" s="1"/>
  <c r="M75" i="11" l="1"/>
  <c r="G75" i="11"/>
  <c r="N75" i="11"/>
  <c r="P75" i="11"/>
  <c r="I74" i="11"/>
  <c r="E75" i="11"/>
  <c r="K75" i="11"/>
  <c r="F75" i="11"/>
  <c r="O74" i="11"/>
  <c r="I91" i="2"/>
  <c r="B76" i="11"/>
  <c r="J76" i="11" s="1"/>
  <c r="Q74" i="11"/>
  <c r="M76" i="11" l="1"/>
  <c r="G76" i="11"/>
  <c r="N76" i="11"/>
  <c r="P76" i="11"/>
  <c r="I75" i="11"/>
  <c r="E76" i="11"/>
  <c r="F76" i="11" s="1"/>
  <c r="K76" i="11"/>
  <c r="Q73" i="11"/>
  <c r="O75" i="11"/>
  <c r="B77" i="11"/>
  <c r="J77" i="11" s="1"/>
  <c r="M77" i="11" l="1"/>
  <c r="G77" i="11"/>
  <c r="N77" i="11"/>
  <c r="P77" i="11"/>
  <c r="I76" i="11"/>
  <c r="E77" i="11"/>
  <c r="K77" i="11"/>
  <c r="F77" i="11"/>
  <c r="Q75" i="11"/>
  <c r="Q76" i="11"/>
  <c r="O76" i="11"/>
  <c r="O77" i="11"/>
  <c r="B78" i="11"/>
  <c r="J78" i="11" s="1"/>
  <c r="M78" i="11" l="1"/>
  <c r="G78" i="11"/>
  <c r="N78" i="11"/>
  <c r="P78" i="11"/>
  <c r="I77" i="11"/>
  <c r="E78" i="11"/>
  <c r="F78" i="11"/>
  <c r="K78" i="11"/>
  <c r="Q77" i="11"/>
  <c r="O78" i="11" l="1"/>
  <c r="K3" i="11"/>
  <c r="M3" i="11"/>
  <c r="AL13" i="2" s="1"/>
  <c r="L3" i="11"/>
  <c r="N3" i="11" l="1"/>
  <c r="AL19" i="2" l="1"/>
  <c r="Q78" i="11" l="1"/>
  <c r="H3" i="11"/>
  <c r="D13" i="1" l="1"/>
  <c r="D30" i="1" s="1"/>
  <c r="D31" i="1" l="1"/>
  <c r="AL14" i="2"/>
  <c r="AL12" i="2"/>
  <c r="AL11" i="2"/>
  <c r="E4" i="11"/>
  <c r="P4" i="11" l="1"/>
  <c r="O4" i="11"/>
  <c r="O47" i="11"/>
  <c r="O48" i="11"/>
  <c r="Q4" i="11"/>
  <c r="B3" i="15"/>
  <c r="I4" i="11"/>
  <c r="F4" i="11"/>
  <c r="E5" i="11"/>
  <c r="O5" i="11" s="1"/>
  <c r="P5" i="11" l="1"/>
  <c r="G4" i="11"/>
  <c r="Q5" i="11"/>
  <c r="I5" i="11"/>
  <c r="B4" i="15"/>
  <c r="C4" i="15" s="1"/>
  <c r="F5" i="11"/>
  <c r="G5" i="11" s="1"/>
  <c r="E4" i="15" s="1"/>
  <c r="F4" i="15" s="1"/>
  <c r="E6" i="11"/>
  <c r="C3" i="15"/>
  <c r="P6" i="11" l="1"/>
  <c r="O6" i="11"/>
  <c r="E3" i="15"/>
  <c r="Q6" i="11"/>
  <c r="I6" i="11"/>
  <c r="F6" i="11"/>
  <c r="G6" i="11" s="1"/>
  <c r="E5" i="15" s="1"/>
  <c r="F5" i="15" s="1"/>
  <c r="E7" i="11"/>
  <c r="P7" i="11" s="1"/>
  <c r="B5" i="15"/>
  <c r="O7" i="11" l="1"/>
  <c r="C5" i="15"/>
  <c r="F3" i="15"/>
  <c r="I7" i="11"/>
  <c r="Q7" i="11"/>
  <c r="F7" i="11"/>
  <c r="B6" i="15"/>
  <c r="C6" i="15" s="1"/>
  <c r="E8" i="11"/>
  <c r="P8" i="11" l="1"/>
  <c r="O8" i="11"/>
  <c r="Q8" i="11"/>
  <c r="B7" i="15"/>
  <c r="C7" i="15" s="1"/>
  <c r="I8" i="11"/>
  <c r="E9" i="11"/>
  <c r="F8" i="11"/>
  <c r="G8" i="11" s="1"/>
  <c r="E7" i="15" s="1"/>
  <c r="F7" i="15" s="1"/>
  <c r="G7" i="11"/>
  <c r="P9" i="11" l="1"/>
  <c r="O9" i="11"/>
  <c r="E6" i="15"/>
  <c r="I9" i="11"/>
  <c r="B8" i="15"/>
  <c r="C8" i="15" s="1"/>
  <c r="F9" i="11"/>
  <c r="Q9" i="11"/>
  <c r="E10" i="11"/>
  <c r="P10" i="11" l="1"/>
  <c r="O10" i="11"/>
  <c r="F6" i="15"/>
  <c r="Q10" i="11"/>
  <c r="B9" i="15"/>
  <c r="I10" i="11"/>
  <c r="E11" i="11"/>
  <c r="F10" i="11"/>
  <c r="G10" i="11" s="1"/>
  <c r="E9" i="15" s="1"/>
  <c r="F9" i="15" s="1"/>
  <c r="G9" i="11"/>
  <c r="O11" i="11" l="1"/>
  <c r="P11" i="11"/>
  <c r="E8" i="15"/>
  <c r="Q11" i="11"/>
  <c r="B10" i="15"/>
  <c r="C10" i="15" s="1"/>
  <c r="I11" i="11"/>
  <c r="F11" i="11"/>
  <c r="G11" i="11" s="1"/>
  <c r="E10" i="15" s="1"/>
  <c r="F10" i="15" s="1"/>
  <c r="E12" i="11"/>
  <c r="P12" i="11" s="1"/>
  <c r="C9" i="15"/>
  <c r="O12" i="11" l="1"/>
  <c r="Q12" i="11"/>
  <c r="B11" i="15"/>
  <c r="C11" i="15" s="1"/>
  <c r="I12" i="11"/>
  <c r="E13" i="11"/>
  <c r="P13" i="11" s="1"/>
  <c r="F12" i="11"/>
  <c r="G12" i="11" s="1"/>
  <c r="E11" i="15" s="1"/>
  <c r="F11" i="15" s="1"/>
  <c r="F8" i="15"/>
  <c r="O13" i="11" l="1"/>
  <c r="Q13" i="11"/>
  <c r="I13" i="11"/>
  <c r="B12" i="15"/>
  <c r="E14" i="11"/>
  <c r="F13" i="11"/>
  <c r="G13" i="11" s="1"/>
  <c r="E12" i="15" s="1"/>
  <c r="O14" i="11" l="1"/>
  <c r="P14" i="11"/>
  <c r="F12" i="15"/>
  <c r="F13" i="15" s="1"/>
  <c r="E13" i="15"/>
  <c r="C12" i="15"/>
  <c r="C13" i="15" s="1"/>
  <c r="B13" i="15"/>
  <c r="I14" i="11"/>
  <c r="Q14" i="11"/>
  <c r="F14" i="11"/>
  <c r="G14" i="11" s="1"/>
  <c r="E15" i="11"/>
  <c r="O15" i="11" l="1"/>
  <c r="P15" i="11"/>
  <c r="Q15" i="11"/>
  <c r="I15" i="11"/>
  <c r="F15" i="11"/>
  <c r="G15" i="11" s="1"/>
  <c r="E16" i="11"/>
  <c r="F17" i="15"/>
  <c r="F16" i="15"/>
  <c r="O16" i="11" l="1"/>
  <c r="P16" i="11"/>
  <c r="Q16" i="11"/>
  <c r="I16" i="11"/>
  <c r="F16" i="11"/>
  <c r="G16" i="11" s="1"/>
  <c r="E17" i="11"/>
  <c r="O17" i="11" l="1"/>
  <c r="P17" i="11"/>
  <c r="I17" i="11"/>
  <c r="F17" i="11"/>
  <c r="G17" i="11" s="1"/>
  <c r="Q17" i="11"/>
  <c r="E18" i="11"/>
  <c r="O18" i="11" l="1"/>
  <c r="P18" i="11"/>
  <c r="Q18" i="11"/>
  <c r="F18" i="11"/>
  <c r="G18" i="11" s="1"/>
  <c r="I18" i="11"/>
  <c r="E19" i="11"/>
  <c r="O19" i="11" l="1"/>
  <c r="P19" i="11"/>
  <c r="I19" i="11"/>
  <c r="Q19" i="11"/>
  <c r="F19" i="11"/>
  <c r="G19" i="11" s="1"/>
  <c r="E20" i="11"/>
  <c r="O20" i="11" l="1"/>
  <c r="P20" i="11"/>
  <c r="Q20" i="11"/>
  <c r="F20" i="11"/>
  <c r="G20" i="11" s="1"/>
  <c r="I20" i="11"/>
  <c r="E21" i="11"/>
  <c r="O21" i="11" l="1"/>
  <c r="P21" i="11"/>
  <c r="I21" i="11"/>
  <c r="Q21" i="11"/>
  <c r="F21" i="11"/>
  <c r="G21" i="11" s="1"/>
  <c r="E22" i="11"/>
  <c r="O22" i="11" l="1"/>
  <c r="P22" i="11"/>
  <c r="I22" i="11"/>
  <c r="Q22" i="11"/>
  <c r="F22" i="11"/>
  <c r="G22" i="11" s="1"/>
  <c r="E23" i="11"/>
  <c r="O23" i="11" l="1"/>
  <c r="P23" i="11"/>
  <c r="I23" i="11"/>
  <c r="F23" i="11"/>
  <c r="G23" i="11" s="1"/>
  <c r="Q23" i="11"/>
  <c r="E24" i="11"/>
  <c r="O24" i="11" l="1"/>
  <c r="P24" i="11"/>
  <c r="Q24" i="11"/>
  <c r="I24" i="11"/>
  <c r="F24" i="11"/>
  <c r="G24" i="11" s="1"/>
  <c r="E25" i="11"/>
  <c r="O25" i="11" l="1"/>
  <c r="P25" i="11"/>
  <c r="I25" i="11"/>
  <c r="Q25" i="11"/>
  <c r="E26" i="11"/>
  <c r="F25" i="11"/>
  <c r="G25" i="11" s="1"/>
  <c r="O26" i="11" l="1"/>
  <c r="P26" i="11"/>
  <c r="Q26" i="11"/>
  <c r="F26" i="11"/>
  <c r="G26" i="11" s="1"/>
  <c r="I26" i="11"/>
  <c r="E27" i="11"/>
  <c r="O27" i="11" l="1"/>
  <c r="P27" i="11"/>
  <c r="I27" i="11"/>
  <c r="Q27" i="11"/>
  <c r="E28" i="11"/>
  <c r="F27" i="11"/>
  <c r="G27" i="11" s="1"/>
  <c r="O28" i="11" l="1"/>
  <c r="P28" i="11"/>
  <c r="Q28" i="11"/>
  <c r="F28" i="11"/>
  <c r="G28" i="11" s="1"/>
  <c r="E29" i="11"/>
  <c r="I28" i="11"/>
  <c r="O29" i="11" l="1"/>
  <c r="P29" i="11"/>
  <c r="I29" i="11"/>
  <c r="E30" i="11"/>
  <c r="Q29" i="11"/>
  <c r="F29" i="11"/>
  <c r="G29" i="11" s="1"/>
  <c r="O30" i="11" l="1"/>
  <c r="P30" i="11"/>
  <c r="Q30" i="11"/>
  <c r="I30" i="11"/>
  <c r="F30" i="11"/>
  <c r="G30" i="11" s="1"/>
  <c r="E31" i="11"/>
  <c r="P41" i="11" l="1"/>
  <c r="P31" i="11"/>
  <c r="P40" i="11"/>
  <c r="P34" i="11"/>
  <c r="P44" i="11"/>
  <c r="P38" i="11"/>
  <c r="P42" i="11"/>
  <c r="P32" i="11"/>
  <c r="P35" i="11"/>
  <c r="P33" i="11"/>
  <c r="P46" i="11"/>
  <c r="P37" i="11"/>
  <c r="P36" i="11"/>
  <c r="P39" i="11"/>
  <c r="P45" i="11"/>
  <c r="P43" i="11"/>
  <c r="O40" i="11"/>
  <c r="O38" i="11"/>
  <c r="O41" i="11"/>
  <c r="O31" i="11"/>
  <c r="O37" i="11"/>
  <c r="O34" i="11"/>
  <c r="O44" i="11"/>
  <c r="O36" i="11"/>
  <c r="O32" i="11"/>
  <c r="O43" i="11"/>
  <c r="O33" i="11"/>
  <c r="O39" i="11"/>
  <c r="O46" i="11"/>
  <c r="O35" i="11"/>
  <c r="O42" i="11"/>
  <c r="O45" i="11"/>
  <c r="I31" i="11"/>
  <c r="F31" i="11"/>
  <c r="G31" i="11" s="1"/>
  <c r="Q31" i="11"/>
  <c r="E32" i="11"/>
  <c r="P3" i="11" l="1"/>
  <c r="AL16" i="2"/>
  <c r="O3" i="11"/>
  <c r="AL15" i="2"/>
  <c r="I32" i="11"/>
  <c r="F32" i="11"/>
  <c r="G32" i="11" s="1"/>
  <c r="E33" i="11"/>
  <c r="E34" i="11" s="1"/>
  <c r="Q32" i="11"/>
  <c r="E35" i="11" l="1"/>
  <c r="F34" i="11"/>
  <c r="G34" i="11" s="1"/>
  <c r="I34" i="11"/>
  <c r="Q34" i="11"/>
  <c r="I33" i="11"/>
  <c r="Q33" i="11"/>
  <c r="F33" i="11"/>
  <c r="E36" i="11" l="1"/>
  <c r="F35" i="11"/>
  <c r="G35" i="11" s="1"/>
  <c r="I35" i="11"/>
  <c r="Q35" i="11"/>
  <c r="G33" i="11"/>
  <c r="E37" i="11" l="1"/>
  <c r="F36" i="11"/>
  <c r="I36" i="11"/>
  <c r="Q36" i="11"/>
  <c r="I37" i="11" l="1"/>
  <c r="E38" i="11"/>
  <c r="F37" i="11"/>
  <c r="G37" i="11" s="1"/>
  <c r="Q37" i="11"/>
  <c r="G36" i="11"/>
  <c r="E39" i="11" l="1"/>
  <c r="I38" i="11"/>
  <c r="F38" i="11"/>
  <c r="Q38" i="11"/>
  <c r="I39" i="11" l="1"/>
  <c r="E40" i="11"/>
  <c r="F39" i="11"/>
  <c r="G39" i="11" s="1"/>
  <c r="Q39" i="11"/>
  <c r="G38" i="11"/>
  <c r="E41" i="11" l="1"/>
  <c r="F40" i="11"/>
  <c r="I40" i="11"/>
  <c r="Q40" i="11"/>
  <c r="G40" i="11" l="1"/>
  <c r="F41" i="11"/>
  <c r="G41" i="11" s="1"/>
  <c r="I41" i="11"/>
  <c r="E42" i="11"/>
  <c r="Q41" i="11"/>
  <c r="F42" i="11" l="1"/>
  <c r="G42" i="11" s="1"/>
  <c r="I42" i="11"/>
  <c r="E43" i="11"/>
  <c r="AL18" i="2" s="1"/>
  <c r="Q42" i="11"/>
  <c r="AL20" i="2" l="1"/>
  <c r="AL23" i="2"/>
  <c r="E3" i="11"/>
  <c r="AL10" i="2" s="1"/>
  <c r="I43" i="11"/>
  <c r="I3" i="11" s="1"/>
  <c r="F43" i="11"/>
  <c r="G43" i="11" s="1"/>
  <c r="G3" i="11" s="1"/>
  <c r="Q43" i="11"/>
  <c r="AL24" i="2" s="1"/>
  <c r="F3" i="11" l="1"/>
  <c r="AL21" i="2"/>
  <c r="AL22" i="2"/>
  <c r="AL17" i="2"/>
  <c r="Q3" i="11"/>
</calcChain>
</file>

<file path=xl/sharedStrings.xml><?xml version="1.0" encoding="utf-8"?>
<sst xmlns="http://schemas.openxmlformats.org/spreadsheetml/2006/main" count="782" uniqueCount="450">
  <si>
    <t>Benefit Period</t>
  </si>
  <si>
    <t>COLA</t>
  </si>
  <si>
    <t>FACTORS</t>
  </si>
  <si>
    <t>Limited Pay</t>
  </si>
  <si>
    <t>Nonforfeiture - Return of Premium Riders</t>
  </si>
  <si>
    <t>Male</t>
  </si>
  <si>
    <t>Female</t>
  </si>
  <si>
    <t>Joint</t>
  </si>
  <si>
    <t>Lifetime Pay</t>
  </si>
  <si>
    <t>Level</t>
  </si>
  <si>
    <t>Annual Increase</t>
  </si>
  <si>
    <t>1st Year</t>
  </si>
  <si>
    <t>PREMIUM FACTORS</t>
  </si>
  <si>
    <t>Risk Class Factors</t>
  </si>
  <si>
    <t>Elimination Period Factors</t>
  </si>
  <si>
    <t>Preferred Plus</t>
  </si>
  <si>
    <t>0-Day</t>
  </si>
  <si>
    <t>Preferred</t>
  </si>
  <si>
    <t>30-Day</t>
  </si>
  <si>
    <t>Standard</t>
  </si>
  <si>
    <t>90-Day</t>
  </si>
  <si>
    <t>180-Day</t>
  </si>
  <si>
    <t>Payment Mode</t>
  </si>
  <si>
    <t>Annual</t>
  </si>
  <si>
    <t>Semi-Annual</t>
  </si>
  <si>
    <t>Quarterly</t>
  </si>
  <si>
    <t>Monthly</t>
  </si>
  <si>
    <t>RIDER FACTORS</t>
  </si>
  <si>
    <t>3yr\Life</t>
  </si>
  <si>
    <t>Total Benefit Period</t>
  </si>
  <si>
    <t>3yr\3yr</t>
  </si>
  <si>
    <t>3yr\2yr</t>
  </si>
  <si>
    <t>3yr\1yr</t>
  </si>
  <si>
    <t>3 Year</t>
  </si>
  <si>
    <t>2 Year</t>
  </si>
  <si>
    <t>Coverage</t>
  </si>
  <si>
    <t>Lifetime</t>
  </si>
  <si>
    <t>Elimination Period</t>
  </si>
  <si>
    <t>Risk Class</t>
  </si>
  <si>
    <t>3% COLA</t>
  </si>
  <si>
    <t>No COLA</t>
  </si>
  <si>
    <t>5% COLA</t>
  </si>
  <si>
    <t>Preferred Rates (ICC15NGL100P)</t>
  </si>
  <si>
    <t>10 Pay
(ICC15NGL100E-10P)</t>
  </si>
  <si>
    <t>Single Pay
(ICC15NGL100E-SP)</t>
  </si>
  <si>
    <t>(ICC15NGL100R-LROP)</t>
  </si>
  <si>
    <t>(ICC15NGL100R-FROP)</t>
  </si>
  <si>
    <t>(ICC15NGL100R-LROPS)</t>
  </si>
  <si>
    <t>(ICC15NGL100R-FROPS)</t>
  </si>
  <si>
    <t>Benefit Period\Extension
(ICC15NGL100R-BPE)</t>
  </si>
  <si>
    <t>Shared Benefit Amount
(ICC15NGL100R-SBA)</t>
  </si>
  <si>
    <t xml:space="preserve">First Day HCCS Benefit
(ICC15NGL100R-FDC)   </t>
  </si>
  <si>
    <t>Shortened Benefit Period
(ICC15NGL100R-SBN)</t>
  </si>
  <si>
    <t>Waiver of Premium
(ICC15NGL100R-WOP)</t>
  </si>
  <si>
    <t>10-Pay</t>
  </si>
  <si>
    <t>Pay Type</t>
  </si>
  <si>
    <t>Step-Rated</t>
  </si>
  <si>
    <t>4 Year</t>
  </si>
  <si>
    <t>5 Year</t>
  </si>
  <si>
    <t>6 Year</t>
  </si>
  <si>
    <t>Single Pay</t>
  </si>
  <si>
    <t>Initial Premium</t>
  </si>
  <si>
    <t>BP/Ext</t>
  </si>
  <si>
    <t>Notes</t>
  </si>
  <si>
    <t>Fixed Factors</t>
  </si>
  <si>
    <t>Variable Factors</t>
  </si>
  <si>
    <t>No</t>
  </si>
  <si>
    <t>Pref Plus</t>
  </si>
  <si>
    <t>Pref</t>
  </si>
  <si>
    <t>Std</t>
  </si>
  <si>
    <t>Issue
Age</t>
  </si>
  <si>
    <t>Facility Care
Service</t>
  </si>
  <si>
    <t>Comprehensive
Care</t>
  </si>
  <si>
    <t>Facility Care 
Service</t>
  </si>
  <si>
    <t>Comprehensive 
Care</t>
  </si>
  <si>
    <t>ANNUAL RATES
PER $10 DAILY BENEFIT</t>
  </si>
  <si>
    <t>Compound COLA  
(ICC15NGL100R-CI)</t>
  </si>
  <si>
    <t>Step-Rated Compound COLA
(ICC15NGL100R-SCI)</t>
  </si>
  <si>
    <t>Lifetime Step-Rated</t>
  </si>
  <si>
    <t>Annual Rates / 3 Year Benefit Period/Preferred Risk/90-Day Elimination Period/Reimbursement</t>
  </si>
  <si>
    <t>VARIABLE FACTORS</t>
  </si>
  <si>
    <t>Joint Pricing</t>
  </si>
  <si>
    <t>Female premiums &amp; joint premiums are the same</t>
  </si>
  <si>
    <t>Joint Pricing uses the oldest individual’s age</t>
  </si>
  <si>
    <t>COLA*</t>
  </si>
  <si>
    <t>Cost of COLA decreases with age</t>
  </si>
  <si>
    <t>Cost of Limited Pay decreases with age</t>
  </si>
  <si>
    <t>Daily Benefit Amt</t>
  </si>
  <si>
    <t>Feature</t>
  </si>
  <si>
    <t>First Day HCCS Rider</t>
  </si>
  <si>
    <t>Selection</t>
  </si>
  <si>
    <t>Demographic Information</t>
  </si>
  <si>
    <t>Basic Features</t>
  </si>
  <si>
    <t>COLA Riders</t>
  </si>
  <si>
    <t>Premium Payment Options</t>
  </si>
  <si>
    <t xml:space="preserve">Factor  </t>
  </si>
  <si>
    <t>(2) Joint pricing applies the female rate at the older age</t>
  </si>
  <si>
    <t>(6) COLA Factor varies by both Issue Age, Gender, and Premium Payment Option</t>
  </si>
  <si>
    <t>Benefit Period Riders</t>
  </si>
  <si>
    <t>Single Risk Class</t>
  </si>
  <si>
    <t>Joint Risk Class</t>
  </si>
  <si>
    <t>State</t>
  </si>
  <si>
    <t>(4) Shared Care (third pool) only available with Limited Benefit Periods</t>
  </si>
  <si>
    <t>You must use the National Guardian Life Illustration Software for client quoting and application submission.</t>
  </si>
  <si>
    <t>Pref Plus / Pref</t>
  </si>
  <si>
    <t>Pref Plus / Std</t>
  </si>
  <si>
    <t>Pref / Std</t>
  </si>
  <si>
    <t>Shortened BP Rider</t>
  </si>
  <si>
    <t>Joint Rating Class for Single Policy</t>
  </si>
  <si>
    <t>First Day HCCS with 0-Day EP</t>
  </si>
  <si>
    <t>First Day HCCS with Fac Only</t>
  </si>
  <si>
    <t>HCCS Waiver with Fac Only</t>
  </si>
  <si>
    <t>Single Pay with HCCS Waiver</t>
  </si>
  <si>
    <t>empty</t>
  </si>
  <si>
    <t>Shared Benefit with Lifetime Benefit Period</t>
  </si>
  <si>
    <t>Step Rated COLA with Limited Pay</t>
  </si>
  <si>
    <t>Step Rated COLA with 0% COLA</t>
  </si>
  <si>
    <t>Check:</t>
  </si>
  <si>
    <t>Disclaimer Unchecked</t>
  </si>
  <si>
    <t>Single Pay and not Annual</t>
  </si>
  <si>
    <t>Shared Benefit with Single Policy</t>
  </si>
  <si>
    <t>Shortened BP with ROP</t>
  </si>
  <si>
    <t>Wisconsin with DBA of 50</t>
  </si>
  <si>
    <t>(3) Facility Services Only Waiver of Premium included in base policy</t>
  </si>
  <si>
    <t>halt prem calc</t>
  </si>
  <si>
    <t>removes first day HCCS</t>
  </si>
  <si>
    <t>removes HCCS waiver</t>
  </si>
  <si>
    <t>removes shared benefit</t>
  </si>
  <si>
    <t>removes step rated</t>
  </si>
  <si>
    <t>removes shortened BP</t>
  </si>
  <si>
    <t>Vermont with DBA less than 80</t>
  </si>
  <si>
    <t>Vermont with 180-Day EP</t>
  </si>
  <si>
    <t>South Dakota with DBA less than 100</t>
  </si>
  <si>
    <t>South Dakota with 180-Day EP</t>
  </si>
  <si>
    <t>Handling:</t>
  </si>
  <si>
    <t>Exception:</t>
  </si>
  <si>
    <t>None</t>
  </si>
  <si>
    <t>North Dakota</t>
  </si>
  <si>
    <t>rename ROP options</t>
  </si>
  <si>
    <t>Age</t>
  </si>
  <si>
    <t>Premiums</t>
  </si>
  <si>
    <t>Death Benefit</t>
  </si>
  <si>
    <t>Net</t>
  </si>
  <si>
    <t>IRR</t>
  </si>
  <si>
    <t>Assumptions</t>
  </si>
  <si>
    <t>PV Dsct Rate</t>
  </si>
  <si>
    <t>PV Prem</t>
  </si>
  <si>
    <t>PV Claims</t>
  </si>
  <si>
    <t>Base Leverage</t>
  </si>
  <si>
    <t>NPV Leverage</t>
  </si>
  <si>
    <t>Results</t>
  </si>
  <si>
    <t>NPV Net</t>
  </si>
  <si>
    <t>Corp</t>
  </si>
  <si>
    <t>Age Based Limit</t>
  </si>
  <si>
    <t>Age Limit Infl</t>
  </si>
  <si>
    <t>Limit</t>
  </si>
  <si>
    <t>Corp Deduction</t>
  </si>
  <si>
    <t>Tax Benefit</t>
  </si>
  <si>
    <t>Self-Empl Deduction</t>
  </si>
  <si>
    <t>Marginal Tax Rate</t>
  </si>
  <si>
    <t>2016 Limit</t>
  </si>
  <si>
    <t>After-Tax Leverage</t>
  </si>
  <si>
    <t>Corporate Structure</t>
  </si>
  <si>
    <t>Ages</t>
  </si>
  <si>
    <t>Corporate Deduction</t>
  </si>
  <si>
    <t>Self Employed Deduction</t>
  </si>
  <si>
    <t>Total</t>
  </si>
  <si>
    <t>Potential Corporate Tax Savings</t>
  </si>
  <si>
    <t>Potential Individual Tax Savings</t>
  </si>
  <si>
    <t>Age Eligible Premium</t>
  </si>
  <si>
    <t>2016 – Per Insured</t>
  </si>
  <si>
    <t>2017– Per Insured</t>
  </si>
  <si>
    <t>41-50</t>
  </si>
  <si>
    <t>51-60</t>
  </si>
  <si>
    <t>61-70</t>
  </si>
  <si>
    <t>71+</t>
  </si>
  <si>
    <t>Age1</t>
  </si>
  <si>
    <t>Last Premium Dur</t>
  </si>
  <si>
    <t>Last Claim Dur</t>
  </si>
  <si>
    <t>Hypothetical Deduction Scenarios</t>
  </si>
  <si>
    <t>Premium and Benefit Projections</t>
  </si>
  <si>
    <t>Premium w/ Tax Benefit</t>
  </si>
  <si>
    <t>Assumed Age Limit Indexing</t>
  </si>
  <si>
    <t>Totals:</t>
  </si>
  <si>
    <t>Daily LTC Benefit</t>
  </si>
  <si>
    <t>Ages 40-44</t>
  </si>
  <si>
    <t>Ages 45-49</t>
  </si>
  <si>
    <t>Ages 50-54</t>
  </si>
  <si>
    <t>Ages 55-59</t>
  </si>
  <si>
    <t>Ages 60-64</t>
  </si>
  <si>
    <t>Ages 65-69</t>
  </si>
  <si>
    <t>Ages 70-74</t>
  </si>
  <si>
    <t>Ages 75-79</t>
  </si>
  <si>
    <t>Connecticut with 180-Day EP</t>
  </si>
  <si>
    <t>Connecticut with HCCS Waiver</t>
  </si>
  <si>
    <t>removes HCCS Waiver factor</t>
  </si>
  <si>
    <t>(1) Age nearest birthday.  For joint, use the older age.</t>
  </si>
  <si>
    <t>(5) Step-Rated COLA only available with Lifetime Pay and 3% or 5% COLA</t>
  </si>
  <si>
    <t>Assumed Claim Year</t>
  </si>
  <si>
    <t>% of C-Corp</t>
  </si>
  <si>
    <t>Tax Savings</t>
  </si>
  <si>
    <t>Optional Surrender</t>
  </si>
  <si>
    <t>Second Insured Age</t>
  </si>
  <si>
    <t>Corporation</t>
  </si>
  <si>
    <t>Projection</t>
  </si>
  <si>
    <t>Age Limit Indexing</t>
  </si>
  <si>
    <t>Net Cash Flow</t>
  </si>
  <si>
    <t>Year</t>
  </si>
  <si>
    <t>Return of Premium</t>
  </si>
  <si>
    <t>Projection Ends At Age</t>
  </si>
  <si>
    <t>Elimination Period not included in projections.</t>
  </si>
  <si>
    <t>Max Benefit Ratio</t>
  </si>
  <si>
    <t>Term</t>
  </si>
  <si>
    <t>Definition</t>
  </si>
  <si>
    <t>Maximum Benefits Payable contingent on the chronically ill policyholder meeting coverage criteria.</t>
  </si>
  <si>
    <t>Premiums are estimated and may vary from the illustration software and actual premiums.</t>
  </si>
  <si>
    <t>For agent and broker use only. Not for distribution to the public.</t>
  </si>
  <si>
    <t xml:space="preserve">Product underwritten by National Guardian Life Insurance Company (NGL). Policy form series ICC16-NLTC100P. </t>
  </si>
  <si>
    <t xml:space="preserve">Product not available in all states. National Guardian Life Insurance Company is not affiliated with </t>
  </si>
  <si>
    <t>The Guardian Life Insurance Company of America a.k.a. The Guardian or Guardian Life.</t>
  </si>
  <si>
    <t>Disclaimers</t>
  </si>
  <si>
    <t>Assumed Age at Claim</t>
  </si>
  <si>
    <t>Age at which you are assuming claims will begin for the insured (for joint insured, either insured.</t>
  </si>
  <si>
    <t>Projection Ends at Age</t>
  </si>
  <si>
    <t>Age at which you are assuming claims will end.  This is relevant in particular to determine values for demonstrations that include a Lifetime Benefit Period.</t>
  </si>
  <si>
    <t>The initial premium based upon the mode selected</t>
  </si>
  <si>
    <t>Maximum Benefit Payable</t>
  </si>
  <si>
    <t>Represents the Maximum Benefits payable for the first insured</t>
  </si>
  <si>
    <t>Included when a joint policy is being demonstrated. Represents the Maximum Benefits payable for the second insured</t>
  </si>
  <si>
    <t>Included when a joint policy with Shared Benefit Amount Rider is being demonstrated. Represents the Maximum Benefits payable for the third shared benefit amount.</t>
  </si>
  <si>
    <t>Reimbursement Up to Max Benefits payable</t>
  </si>
  <si>
    <t>Totals the Max Benefits Payable for the 1st insured, 2nd insured (if applicable), and the Shared Benefit Amount (if applicable)</t>
  </si>
  <si>
    <t>This is ratio of “Reimbursement Up To Max Benefits Payable” to “Total Premiums Paid”.</t>
  </si>
  <si>
    <t>Represents the Daily Benefit at the “Assumed Age of Claim”.  If an inflation protection rider is being included, this reflects the inflated value of the daily benefit to the Projected Claim Age.</t>
  </si>
  <si>
    <t>Daily Benefit at Age XX</t>
  </si>
  <si>
    <t>1st Insured LTC Up To Max Benefits Payable</t>
  </si>
  <si>
    <t>2nd Insured LTC Up To Max Benefits Payable</t>
  </si>
  <si>
    <t>Shared LTC Up To Max Benefits Payable</t>
  </si>
  <si>
    <t>* Maximum Benefit Ratio is (Max Benefits Payable) / (Total Premiums Paid)</t>
  </si>
  <si>
    <t>Premium Calculator</t>
  </si>
  <si>
    <r>
      <t xml:space="preserve">Assumed Age At Claim </t>
    </r>
    <r>
      <rPr>
        <vertAlign val="superscript"/>
        <sz val="10"/>
        <color indexed="8"/>
        <rFont val="Calibri"/>
        <family val="2"/>
        <scheme val="minor"/>
      </rPr>
      <t>(7)</t>
    </r>
  </si>
  <si>
    <r>
      <t xml:space="preserve">Issue Age </t>
    </r>
    <r>
      <rPr>
        <vertAlign val="superscript"/>
        <sz val="10"/>
        <rFont val="Calibri"/>
        <family val="2"/>
        <scheme val="minor"/>
      </rPr>
      <t>(1)</t>
    </r>
  </si>
  <si>
    <r>
      <t xml:space="preserve">Gender </t>
    </r>
    <r>
      <rPr>
        <vertAlign val="superscript"/>
        <sz val="10"/>
        <color indexed="8"/>
        <rFont val="Calibri"/>
        <family val="2"/>
        <scheme val="minor"/>
      </rPr>
      <t>(2)</t>
    </r>
  </si>
  <si>
    <r>
      <t xml:space="preserve">HCCS Premium Waiver </t>
    </r>
    <r>
      <rPr>
        <vertAlign val="superscript"/>
        <sz val="10"/>
        <color indexed="8"/>
        <rFont val="Calibri"/>
        <family val="2"/>
        <scheme val="minor"/>
      </rPr>
      <t>(3)</t>
    </r>
  </si>
  <si>
    <r>
      <t xml:space="preserve">Shared Benefit </t>
    </r>
    <r>
      <rPr>
        <vertAlign val="superscript"/>
        <sz val="10"/>
        <color indexed="8"/>
        <rFont val="Calibri"/>
        <family val="2"/>
        <scheme val="minor"/>
      </rPr>
      <t>(4)</t>
    </r>
  </si>
  <si>
    <r>
      <t xml:space="preserve">Step-Rate COLA </t>
    </r>
    <r>
      <rPr>
        <vertAlign val="superscript"/>
        <sz val="10"/>
        <color indexed="8"/>
        <rFont val="Calibri"/>
        <family val="2"/>
        <scheme val="minor"/>
      </rPr>
      <t>(5)</t>
    </r>
  </si>
  <si>
    <r>
      <t xml:space="preserve">Select From Dropdown </t>
    </r>
    <r>
      <rPr>
        <b/>
        <sz val="10"/>
        <color theme="1"/>
        <rFont val="Calibri"/>
        <family val="2"/>
        <scheme val="minor"/>
      </rPr>
      <t>(or Alt + Down Arrow)</t>
    </r>
  </si>
  <si>
    <t>WARNING</t>
  </si>
  <si>
    <t xml:space="preserve">Available ROP at XX </t>
  </si>
  <si>
    <t>Optional Surrender at XX prior to LTC Benefits</t>
  </si>
  <si>
    <t>When Return of Premium with the Optional Surrender Riders is selected, this reflects the Optional Surrender value at the assumed age of claim, assuming no claims have been paid.</t>
  </si>
  <si>
    <t>Comp</t>
  </si>
  <si>
    <t>Total Paid Premiums</t>
  </si>
  <si>
    <t>This represents the total of paid premiums into the policy from their current age, to the “Assumed Age At Claim”.</t>
  </si>
  <si>
    <t>(7)  All benefits used continuously by all insureds at claim.</t>
  </si>
  <si>
    <t>*See Glossary and Projections tab for additional information.</t>
  </si>
  <si>
    <t>These figures represent the claims that would be paid assuming that the full daily benefit is utilized each consecutive days over the selected benefit period or age identified in “Projection Ends At Age” field. This may differ from Illustration Software when COLA continues to accrue while on claim. The elimination period is not factored into this calculation.</t>
  </si>
  <si>
    <t>Tax Rate</t>
  </si>
  <si>
    <t>Corp Type</t>
  </si>
  <si>
    <t>Reimbursement Up to Max Benefits Payable</t>
  </si>
  <si>
    <t>When Return of Premium is included, this reflects the Return of Premium benefit available upon death of the insured (second to die for joint policy) at the assumed age of claim.  When Limited Return of Premium is selected, the value reflected assumes no claims have been paid.</t>
  </si>
  <si>
    <t>Projections are not guaranteed to be accurate.  Should there be discrepancies, the policy benefits schedule determines the payment of benefits.</t>
  </si>
  <si>
    <t>Pricing is based on the rates for the states on which the product is approved and may not apply to all states.</t>
  </si>
  <si>
    <t>(8) Step-Rated COLA premium increase occurs each policy anniversary.</t>
  </si>
  <si>
    <r>
      <t xml:space="preserve">Step Rated Annual Increase in Modal Premium </t>
    </r>
    <r>
      <rPr>
        <vertAlign val="superscript"/>
        <sz val="9"/>
        <color indexed="8"/>
        <rFont val="Calibri"/>
        <family val="2"/>
        <scheme val="minor"/>
      </rPr>
      <t>(8)</t>
    </r>
  </si>
  <si>
    <t>Attachment E</t>
  </si>
  <si>
    <t>National Guardian Life Insurance Company</t>
  </si>
  <si>
    <t>Premium Rates and Factors</t>
  </si>
  <si>
    <t>The information in the Actuarial Memorandum for Policy Form ICC16-NLTC100P applies to this premium rate schedule</t>
  </si>
  <si>
    <t>The information in the Actuarial Memorandum for Policy Form NLTC100P-FL applies to this premium rate schedule</t>
  </si>
  <si>
    <t>The information in the Actuarial Memorandum for Policy Form NLTC101P-FL applies to this premium rate schedule</t>
  </si>
  <si>
    <t>Annual Rates /3 Year Benefit Period/Preferred Risk/90-Day Elimination Period/Reimbursement</t>
  </si>
  <si>
    <t>Annual Rates /3-Year Benefit Period/Preferred Risk/90-Day Elimination Period/Reimbursement</t>
  </si>
  <si>
    <t>ANNUAL RATES</t>
  </si>
  <si>
    <t>PER $10 DAILY BENEFIT</t>
  </si>
  <si>
    <t>Preferred Rates (ICC16-NLTC100P)</t>
  </si>
  <si>
    <t>Compound COLA</t>
  </si>
  <si>
    <t>Step-Rated Compound COLA</t>
  </si>
  <si>
    <t>Preferred Rates (NLTC100P-FL)</t>
  </si>
  <si>
    <t>Preferred Rates (NLTC101P-FL)</t>
  </si>
  <si>
    <t>(ICC16-NLTC100R-CI)</t>
  </si>
  <si>
    <t>(ICC16-NLTC100R-SCI)</t>
  </si>
  <si>
    <t>(NLTC100R-CI)</t>
  </si>
  <si>
    <t>Lifetime Step Rate</t>
  </si>
  <si>
    <t>Issue</t>
  </si>
  <si>
    <t>Facility Care</t>
  </si>
  <si>
    <t>Comprehensive</t>
  </si>
  <si>
    <t>10 Pay
(ICC16-NLTCE-10P)</t>
  </si>
  <si>
    <t>Single Pay
(ICC16-NLTCE-SP)</t>
  </si>
  <si>
    <t>(ICC16-NLTC100R-LROP)</t>
  </si>
  <si>
    <t>(ICC16-NLTC100R-FROP)</t>
  </si>
  <si>
    <t>(ICC16-NLTC100R-LROPS)</t>
  </si>
  <si>
    <t>(ICC16-NLTC100R-FROPS)</t>
  </si>
  <si>
    <t>(NLTC100R-LROP)</t>
  </si>
  <si>
    <t>(NLTC100R-FROP)</t>
  </si>
  <si>
    <t>(NLTC100R-LROPS)</t>
  </si>
  <si>
    <t>(NLTC100R-FROPS)</t>
  </si>
  <si>
    <t>Service</t>
  </si>
  <si>
    <t>Care</t>
  </si>
  <si>
    <t>Benefit Period\Extension
(ICC16-NLTC100R-BPE)</t>
  </si>
  <si>
    <t>Shared Benefit Amount
(ICC16-NLTC100R-SBA)</t>
  </si>
  <si>
    <t xml:space="preserve">First Day HCCS Benefit
(ICC16-NLTC100R-FDC)   </t>
  </si>
  <si>
    <t>Benefit Period\Extension
(NLTC100R-BPE)</t>
  </si>
  <si>
    <t>Shared Benefit Amount
(NLTC100R-SBA)</t>
  </si>
  <si>
    <t xml:space="preserve">First Day HCCS Benefit
(NLTC100R-FDC)   </t>
  </si>
  <si>
    <t xml:space="preserve">30-Day         </t>
  </si>
  <si>
    <t xml:space="preserve">90-Day          </t>
  </si>
  <si>
    <t>Shortened Benefit Period
(ICC16-NLTC100R-SBN)</t>
  </si>
  <si>
    <t>Waiver of Premium
(ICC16-NLTC100R-WOP)</t>
  </si>
  <si>
    <t>Shortened Benefit Period
(NLTC100R-SBN)</t>
  </si>
  <si>
    <t>HCCS Waiver of Premium (NLTC100R-WOP-FL)</t>
  </si>
  <si>
    <t>HCCS Waiver of Premium
(NLTC100R-WOP-FL)</t>
  </si>
  <si>
    <t>Fac Only in FL</t>
  </si>
  <si>
    <t>Step-Rated in FL</t>
  </si>
  <si>
    <t>Single Pay or 10-Pay in FL</t>
  </si>
  <si>
    <t>Single Pay with Shortened BP</t>
  </si>
  <si>
    <t>Version History</t>
  </si>
  <si>
    <t>Initial Benefits Buddy Release</t>
  </si>
  <si>
    <t>Florida Rates Added</t>
  </si>
  <si>
    <t>Indiana Rates Added</t>
  </si>
  <si>
    <t>Floride Specific Restrictions Added</t>
  </si>
  <si>
    <t>Risk Class Factor to 3 decimal places</t>
  </si>
  <si>
    <t>Warning language changed for Shared Benefits with Single Policy or Lifetime Benefits</t>
  </si>
  <si>
    <t>Implemented Waiver on Fac Only</t>
  </si>
  <si>
    <t>Emptied graph when premium calculation halted</t>
  </si>
  <si>
    <t>Add Print Area</t>
  </si>
  <si>
    <t>Halt Calculation when an input is deleted</t>
  </si>
  <si>
    <t>Warning when only partial benefits used</t>
  </si>
  <si>
    <t>Warning when only partial commissions collected</t>
  </si>
  <si>
    <t>Added Second Age</t>
  </si>
  <si>
    <t>Commissions Disclaimers Added</t>
  </si>
  <si>
    <t>Added Tax Qualfied to benefits header in chart</t>
  </si>
  <si>
    <t>Updated notes (1) and (7) to reflect two age entries for joint policies</t>
  </si>
  <si>
    <t>Added error to halt graph when necessary</t>
  </si>
  <si>
    <t>Added error for Issue age above Claim Age</t>
  </si>
  <si>
    <t>Add Issue age from Date of Birth Calculator</t>
  </si>
  <si>
    <t>Commission Calcuation premium order fixed.</t>
  </si>
  <si>
    <t>"Issue Age" changed to "Issue Ages" in premium calculator</t>
  </si>
  <si>
    <t>Added age calculator header</t>
  </si>
  <si>
    <t>Add HCCS Waiver Rider to Disclaimer regarding projected premiums</t>
  </si>
  <si>
    <t>Removed Commission Precentage</t>
  </si>
  <si>
    <t>Split the left of pie and right of pie  desciptions into two textboxes, one for label and one for value.</t>
  </si>
  <si>
    <t>Added bracket to group bar</t>
  </si>
  <si>
    <t>Changed label of Commissions right of pie to "Total Commission" and labael above bar to "Commissions"</t>
  </si>
  <si>
    <t>Commissions Disclaimers changes implemented</t>
  </si>
  <si>
    <t>Conditional formatting of conflicting suggestions reduced to a single input</t>
  </si>
  <si>
    <t>Delaware specific Commission Scedules Added</t>
  </si>
  <si>
    <t>Surrender Value Cacluation Corrected</t>
  </si>
  <si>
    <t>Commissions Buddy Premium Label for Single Pay changed from "years 1-10 to "year 1".</t>
  </si>
  <si>
    <t>Reverse Combo Label Replaced with Return of Premium (Death Benefit in ND)</t>
  </si>
  <si>
    <t>"Available ROP prior to LTC benefits" language changes</t>
  </si>
  <si>
    <t>Defaults Changed</t>
  </si>
  <si>
    <t>"Demographic Information" changed to "Basic Information"</t>
  </si>
  <si>
    <t>"Max Benefits Payable" description added to projections tab</t>
  </si>
  <si>
    <t>Pasting Commission Code locks cell</t>
  </si>
  <si>
    <t>Create clear space for second insured age and second insured risk class</t>
  </si>
  <si>
    <t>Add first/second risk class</t>
  </si>
  <si>
    <t>"Employer/Assoc Group" changed to "Employer/Assoc/Franchise"</t>
  </si>
  <si>
    <t>Single Pay with Shortened Benefits warning added</t>
  </si>
  <si>
    <t>removes shortned bp</t>
  </si>
  <si>
    <t xml:space="preserve">"Reverse Combo" language removed </t>
  </si>
  <si>
    <t>To Do</t>
  </si>
  <si>
    <t xml:space="preserve">EssentialLTC is a Guaranteed Renewable policy.  This means that the policyholder has the right, subject to the terms of the policy, </t>
  </si>
  <si>
    <t>to continue the policy for as long as premiums are paid on time.  NGL cannot change any of the terms of the policy on its own,</t>
  </si>
  <si>
    <t>except that, in the future, IT MAY INCREASE THE PREMIUM YOU PAY.</t>
  </si>
  <si>
    <t>Fixed Florida Franchise</t>
  </si>
  <si>
    <t>Added Guarenteed Renewable Disclaimer</t>
  </si>
  <si>
    <t>Added New Jeresy Rates</t>
  </si>
  <si>
    <t>Added Single Pay with Shortened Benefit Period Warning</t>
  </si>
  <si>
    <t>Single Pay in NJ</t>
  </si>
  <si>
    <t>Shortened BP with 10-Pay in NJ</t>
  </si>
  <si>
    <t>NJ Only</t>
  </si>
  <si>
    <t>Not NJ</t>
  </si>
  <si>
    <t>Cleared Garph on Errors</t>
  </si>
  <si>
    <t>Joint NJ Only</t>
  </si>
  <si>
    <t>Single NJ Only</t>
  </si>
  <si>
    <t>Joint Not NJ</t>
  </si>
  <si>
    <t>Single Not NJ</t>
  </si>
  <si>
    <t>Joint/Individual+ in wrong state</t>
  </si>
  <si>
    <t>Unisex with Association</t>
  </si>
  <si>
    <t>disable association</t>
  </si>
  <si>
    <t>Individual Plus Additional Insured</t>
  </si>
  <si>
    <t>Added error for association with unisex</t>
  </si>
  <si>
    <t>Added error for wrong Joint/Individual+ language</t>
  </si>
  <si>
    <t>Fixed rates for ROP for unisex</t>
  </si>
  <si>
    <t>MA</t>
  </si>
  <si>
    <t>Fixed Single Pay in NJ error</t>
  </si>
  <si>
    <t>Monthly Modal Factor</t>
  </si>
  <si>
    <t>AK</t>
  </si>
  <si>
    <t>AL</t>
  </si>
  <si>
    <t>AR</t>
  </si>
  <si>
    <t>AZ</t>
  </si>
  <si>
    <t>CO</t>
  </si>
  <si>
    <t>CT</t>
  </si>
  <si>
    <t>DC</t>
  </si>
  <si>
    <t>DE</t>
  </si>
  <si>
    <t>FL</t>
  </si>
  <si>
    <t>GA</t>
  </si>
  <si>
    <t>IA</t>
  </si>
  <si>
    <t>ID</t>
  </si>
  <si>
    <t>IL</t>
  </si>
  <si>
    <t>IN</t>
  </si>
  <si>
    <t>KS</t>
  </si>
  <si>
    <t>KY</t>
  </si>
  <si>
    <t>LA</t>
  </si>
  <si>
    <t>MD</t>
  </si>
  <si>
    <t>ME</t>
  </si>
  <si>
    <t>MI</t>
  </si>
  <si>
    <t>MN</t>
  </si>
  <si>
    <t>MO</t>
  </si>
  <si>
    <t>MS</t>
  </si>
  <si>
    <t>NC</t>
  </si>
  <si>
    <t>ND</t>
  </si>
  <si>
    <t>NE</t>
  </si>
  <si>
    <t>NJ</t>
  </si>
  <si>
    <t>NH</t>
  </si>
  <si>
    <t>NM</t>
  </si>
  <si>
    <t>NV</t>
  </si>
  <si>
    <t>OH</t>
  </si>
  <si>
    <t>OK</t>
  </si>
  <si>
    <t>OR</t>
  </si>
  <si>
    <t>PA</t>
  </si>
  <si>
    <t>RI</t>
  </si>
  <si>
    <t>SC</t>
  </si>
  <si>
    <t>SD</t>
  </si>
  <si>
    <t>TN</t>
  </si>
  <si>
    <t>TX</t>
  </si>
  <si>
    <t>UT</t>
  </si>
  <si>
    <t>VA</t>
  </si>
  <si>
    <t>VT</t>
  </si>
  <si>
    <t>WA</t>
  </si>
  <si>
    <t>WI</t>
  </si>
  <si>
    <t>WV</t>
  </si>
  <si>
    <t>WY</t>
  </si>
  <si>
    <t>Monthly Modal Factor Change</t>
  </si>
  <si>
    <t>Target Premium</t>
  </si>
  <si>
    <t>Min DBA</t>
  </si>
  <si>
    <t>Resulting DBA</t>
  </si>
  <si>
    <t>Min Prem</t>
  </si>
  <si>
    <t>Max Prem</t>
  </si>
  <si>
    <t>Tagert Premium Cacluations</t>
  </si>
  <si>
    <t>Corporate Assumptions</t>
  </si>
  <si>
    <t>Target Premium Lock In</t>
  </si>
  <si>
    <t>Enter target premium to adjust the Daily Benefit Amt.
Enter zero to reset Daily Benefit Amt.</t>
  </si>
  <si>
    <t>Employer Group (Unisex)</t>
  </si>
  <si>
    <t>Employer Group (Unisex) not in NJ</t>
  </si>
  <si>
    <t>Risk Class for NJ, the unisex rate class has been changed to Employer group (unisex).</t>
  </si>
  <si>
    <t>Version 2.15.  Rates as of 8/01/2018</t>
  </si>
  <si>
    <t>Added Employer Group (Unisex) for compact states.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</si>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</sst>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000"/>
    <numFmt numFmtId="165" formatCode="0.000"/>
    <numFmt numFmtId="166" formatCode="_(* #,##0.000_);_(* \(#,##0.000\);_(* &quot;-&quot;??_);_(@_)"/>
    <numFmt numFmtId="167" formatCode="_(* #,##0_);_(* \(#,##0\);_(* &quot;-&quot;??_);_(@_)"/>
    <numFmt numFmtId="168" formatCode="0.0%"/>
    <numFmt numFmtId="169" formatCode="0.0"/>
    <numFmt numFmtId="170" formatCode="&quot;$&quot;#,##0"/>
    <numFmt numFmtId="171" formatCode="_(&quot;$&quot;* #,##0_);_(&quot;$&quot;* \(#,##0\);_(&quot;$&quot;* &quot;-&quot;??_);_(@_)"/>
    <numFmt numFmtId="172" formatCode="0.0000"/>
    <numFmt numFmtId="173" formatCode="&quot;$&quot;#,##0_);\(&quot;$&quot;#,##0\);_(\ &quot;-&quot;_)"/>
  </numFmts>
  <fonts count="80">
    <font>
      <sz val="11"/>
      <color theme="1"/>
      <name val="Calibri"/>
      <family val="2"/>
      <scheme val="minor"/>
    </font>
    <font>
      <sz val="10"/>
      <name val="SWISS"/>
    </font>
    <font>
      <sz val="10"/>
      <name val="Arial"/>
      <family val="2"/>
    </font>
    <font>
      <sz val="10"/>
      <name val="StoneSans"/>
      <family val="2"/>
    </font>
    <font>
      <sz val="12"/>
      <name val="Avenir LT Std 35 Light"/>
      <family val="2"/>
    </font>
    <font>
      <sz val="10"/>
      <name val="Avenir LT Std 35 Light"/>
      <family val="2"/>
    </font>
    <font>
      <b/>
      <sz val="10"/>
      <name val="Avenir LT Std 35 Light"/>
      <family val="2"/>
    </font>
    <font>
      <b/>
      <sz val="14"/>
      <name val="Avenir LT Std 35 Light"/>
      <family val="2"/>
    </font>
    <font>
      <b/>
      <sz val="12"/>
      <name val="Avenir LT Std 35 Light"/>
      <family val="2"/>
    </font>
    <font>
      <sz val="11"/>
      <color theme="1"/>
      <name val="Calibri"/>
      <family val="2"/>
      <scheme val="minor"/>
    </font>
    <font>
      <b/>
      <sz val="11"/>
      <color rgb="FF3F3F3F"/>
      <name val="Calibri"/>
      <family val="2"/>
      <scheme val="minor"/>
    </font>
    <font>
      <sz val="11"/>
      <color theme="1"/>
      <name val="Avenir LT Std 35 Light"/>
      <family val="2"/>
    </font>
    <font>
      <b/>
      <sz val="11"/>
      <color theme="1"/>
      <name val="Avenir LT Std 35 Light"/>
      <family val="2"/>
    </font>
    <font>
      <u/>
      <sz val="11"/>
      <color theme="1"/>
      <name val="Avenir LT Std 35 Light"/>
      <family val="2"/>
    </font>
    <font>
      <sz val="10"/>
      <color theme="0"/>
      <name val="Avenir LT Std 35 Light"/>
      <family val="2"/>
    </font>
    <font>
      <sz val="12"/>
      <color theme="0"/>
      <name val="Avenir LT Std 35 Light"/>
      <family val="2"/>
    </font>
    <font>
      <sz val="10"/>
      <color theme="1"/>
      <name val="Avenir LT Std 35 Light"/>
      <family val="2"/>
    </font>
    <font>
      <b/>
      <sz val="12"/>
      <color theme="1"/>
      <name val="Avenir LT Std 35 Light"/>
      <family val="2"/>
    </font>
    <font>
      <sz val="10"/>
      <color rgb="FF003F5F"/>
      <name val="Calibri"/>
      <family val="2"/>
      <scheme val="minor"/>
    </font>
    <font>
      <sz val="18"/>
      <name val="Arial"/>
      <family val="2"/>
    </font>
    <font>
      <sz val="14"/>
      <color rgb="FFFFFFFF"/>
      <name val="Avenir LT Std 35 Light"/>
      <family val="2"/>
    </font>
    <font>
      <sz val="14"/>
      <color rgb="FF000000"/>
      <name val="Avenir LT Std 35 Light"/>
      <family val="2"/>
    </font>
    <font>
      <u/>
      <sz val="14"/>
      <color rgb="FF000000"/>
      <name val="Avenir LT Std 35 Light"/>
      <family val="2"/>
    </font>
    <font>
      <b/>
      <sz val="14"/>
      <color rgb="FF000000"/>
      <name val="Avenir LT Std 35 Light"/>
      <family val="2"/>
    </font>
    <font>
      <sz val="12"/>
      <color theme="0"/>
      <name val="Univers LT Std 45 Light"/>
      <family val="2"/>
    </font>
    <font>
      <sz val="14"/>
      <name val="Avenir LT Std 35 Light"/>
      <family val="2"/>
    </font>
    <font>
      <sz val="12"/>
      <color theme="1"/>
      <name val="Calibri"/>
      <family val="2"/>
      <scheme val="minor"/>
    </font>
    <font>
      <b/>
      <sz val="12"/>
      <color rgb="FF000000"/>
      <name val="Avenir LT Std 35 Light"/>
      <family val="2"/>
    </font>
    <font>
      <sz val="12"/>
      <color theme="1"/>
      <name val="Avenir LT Std 35 Light"/>
      <family val="2"/>
    </font>
    <font>
      <b/>
      <u/>
      <sz val="12"/>
      <color theme="1"/>
      <name val="Calibri"/>
      <family val="2"/>
      <scheme val="minor"/>
    </font>
    <font>
      <b/>
      <sz val="12"/>
      <color rgb="FF3F3F3F"/>
      <name val="Calibri"/>
      <family val="2"/>
      <scheme val="minor"/>
    </font>
    <font>
      <sz val="12"/>
      <color rgb="FFFF0000"/>
      <name val="Avenir LT Std 35 Light"/>
      <family val="2"/>
    </font>
    <font>
      <b/>
      <sz val="10"/>
      <color rgb="FF003F5F"/>
      <name val="Calibri"/>
      <family val="2"/>
      <scheme val="minor"/>
    </font>
    <font>
      <sz val="8"/>
      <color rgb="FFFF0000"/>
      <name val="Calibri"/>
      <family val="2"/>
      <scheme val="minor"/>
    </font>
    <font>
      <sz val="11"/>
      <color rgb="FF000000"/>
      <name val="Avenir LT Std 35 Light"/>
      <family val="2"/>
    </font>
    <font>
      <b/>
      <sz val="11"/>
      <color theme="1"/>
      <name val="Calibri"/>
      <family val="2"/>
      <scheme val="minor"/>
    </font>
    <font>
      <sz val="10"/>
      <color rgb="FF000000"/>
      <name val="Avenir LT Std 35 Light"/>
      <family val="2"/>
    </font>
    <font>
      <b/>
      <sz val="12"/>
      <color rgb="FF0070C0"/>
      <name val="Avenir LT Std 35 Light"/>
      <family val="2"/>
    </font>
    <font>
      <sz val="16"/>
      <color theme="0"/>
      <name val="Univers LT Std 45 Light"/>
      <family val="2"/>
    </font>
    <font>
      <b/>
      <sz val="12"/>
      <name val="Calibri"/>
      <family val="2"/>
      <scheme val="minor"/>
    </font>
    <font>
      <b/>
      <sz val="14"/>
      <color theme="1"/>
      <name val="Calibri"/>
      <family val="2"/>
      <scheme val="minor"/>
    </font>
    <font>
      <b/>
      <sz val="12"/>
      <color theme="1"/>
      <name val="Calibri"/>
      <family val="2"/>
      <scheme val="minor"/>
    </font>
    <font>
      <b/>
      <sz val="10"/>
      <color theme="0"/>
      <name val="Calibri"/>
      <family val="2"/>
      <scheme val="minor"/>
    </font>
    <font>
      <sz val="10"/>
      <color theme="1"/>
      <name val="Calibri"/>
      <family val="2"/>
      <scheme val="minor"/>
    </font>
    <font>
      <sz val="10"/>
      <name val="Calibri"/>
      <family val="2"/>
      <scheme val="minor"/>
    </font>
    <font>
      <vertAlign val="superscript"/>
      <sz val="10"/>
      <color indexed="8"/>
      <name val="Calibri"/>
      <family val="2"/>
      <scheme val="minor"/>
    </font>
    <font>
      <sz val="9"/>
      <color theme="1"/>
      <name val="Calibri"/>
      <family val="2"/>
      <scheme val="minor"/>
    </font>
    <font>
      <vertAlign val="superscript"/>
      <sz val="10"/>
      <name val="Calibri"/>
      <family val="2"/>
      <scheme val="minor"/>
    </font>
    <font>
      <sz val="10"/>
      <color rgb="FFFF0000"/>
      <name val="Calibri"/>
      <family val="2"/>
      <scheme val="minor"/>
    </font>
    <font>
      <sz val="10"/>
      <color rgb="FF3F3F3F"/>
      <name val="Calibri"/>
      <family val="2"/>
      <scheme val="minor"/>
    </font>
    <font>
      <b/>
      <sz val="12"/>
      <color theme="0"/>
      <name val="Calibri"/>
      <family val="2"/>
      <scheme val="minor"/>
    </font>
    <font>
      <sz val="8"/>
      <color theme="1"/>
      <name val="Calibri"/>
      <family val="2"/>
      <scheme val="minor"/>
    </font>
    <font>
      <u/>
      <sz val="9"/>
      <color theme="1"/>
      <name val="Calibri"/>
      <family val="2"/>
      <scheme val="minor"/>
    </font>
    <font>
      <b/>
      <sz val="10"/>
      <color theme="1"/>
      <name val="Calibri"/>
      <family val="2"/>
      <scheme val="minor"/>
    </font>
    <font>
      <u/>
      <sz val="10"/>
      <color theme="1"/>
      <name val="Calibri"/>
      <family val="2"/>
      <scheme val="minor"/>
    </font>
    <font>
      <b/>
      <sz val="16"/>
      <color theme="1"/>
      <name val="Calibri"/>
      <family val="2"/>
      <scheme val="minor"/>
    </font>
    <font>
      <sz val="8"/>
      <color theme="1" tint="0.249977111117893"/>
      <name val="Calibri"/>
      <family val="2"/>
      <scheme val="minor"/>
    </font>
    <font>
      <b/>
      <sz val="12"/>
      <color rgb="FF003F5F"/>
      <name val="Calibri"/>
      <family val="2"/>
      <scheme val="minor"/>
    </font>
    <font>
      <sz val="8"/>
      <color theme="1" tint="0.14999847407452621"/>
      <name val="Calibri"/>
      <family val="2"/>
      <scheme val="minor"/>
    </font>
    <font>
      <b/>
      <sz val="20"/>
      <color rgb="FF003F5F"/>
      <name val="Calibri"/>
      <family val="2"/>
      <scheme val="minor"/>
    </font>
    <font>
      <sz val="11"/>
      <color rgb="FF003F5F"/>
      <name val="Calibri"/>
      <family val="2"/>
      <scheme val="minor"/>
    </font>
    <font>
      <sz val="22"/>
      <color rgb="FF003F5F"/>
      <name val="Calibri"/>
      <family val="2"/>
      <scheme val="minor"/>
    </font>
    <font>
      <sz val="22"/>
      <color theme="1"/>
      <name val="Calibri"/>
      <family val="2"/>
      <scheme val="minor"/>
    </font>
    <font>
      <b/>
      <sz val="10"/>
      <color theme="1" tint="0.249977111117893"/>
      <name val="Calibri"/>
      <family val="2"/>
      <scheme val="minor"/>
    </font>
    <font>
      <sz val="10"/>
      <color theme="1" tint="0.249977111117893"/>
      <name val="Calibri"/>
      <family val="2"/>
      <scheme val="minor"/>
    </font>
    <font>
      <b/>
      <sz val="16"/>
      <color rgb="FF003F5F"/>
      <name val="Calibri"/>
      <family val="2"/>
      <scheme val="minor"/>
    </font>
    <font>
      <sz val="12"/>
      <color rgb="FFFF0000"/>
      <name val="Calibri"/>
      <family val="2"/>
      <scheme val="minor"/>
    </font>
    <font>
      <sz val="12"/>
      <color theme="0"/>
      <name val="Calibri"/>
      <family val="2"/>
      <scheme val="minor"/>
    </font>
    <font>
      <sz val="10"/>
      <color theme="0"/>
      <name val="Calibri"/>
      <family val="2"/>
      <scheme val="minor"/>
    </font>
    <font>
      <b/>
      <sz val="8"/>
      <color rgb="FF003F5F"/>
      <name val="Calibri"/>
      <family val="2"/>
      <scheme val="minor"/>
    </font>
    <font>
      <b/>
      <sz val="8"/>
      <color theme="1"/>
      <name val="Calibri"/>
      <family val="2"/>
      <scheme val="minor"/>
    </font>
    <font>
      <b/>
      <sz val="8"/>
      <color rgb="FFFF0000"/>
      <name val="Calibri"/>
      <family val="2"/>
      <scheme val="minor"/>
    </font>
    <font>
      <b/>
      <sz val="14"/>
      <color theme="0"/>
      <name val="Calibri"/>
      <family val="2"/>
      <scheme val="minor"/>
    </font>
    <font>
      <vertAlign val="superscript"/>
      <sz val="9"/>
      <color indexed="8"/>
      <name val="Calibri"/>
      <family val="2"/>
      <scheme val="minor"/>
    </font>
    <font>
      <b/>
      <sz val="12"/>
      <name val="Times New Roman"/>
      <family val="1"/>
    </font>
    <font>
      <sz val="12"/>
      <name val="Times New Roman"/>
      <family val="1"/>
    </font>
    <font>
      <sz val="10"/>
      <name val="Times New Roman"/>
      <family val="1"/>
    </font>
    <font>
      <b/>
      <sz val="10"/>
      <name val="Times New Roman"/>
      <family val="1"/>
    </font>
    <font>
      <b/>
      <sz val="13"/>
      <color rgb="FF002060"/>
      <name val="Calibri"/>
      <family val="2"/>
      <scheme val="minor"/>
    </font>
    <font>
      <sz val="11"/>
      <name val="Calibri"/>
      <family val="2"/>
      <scheme val="minor"/>
    </font>
  </fonts>
  <fills count="14">
    <fill>
      <patternFill patternType="none"/>
    </fill>
    <fill>
      <patternFill patternType="gray125"/>
    </fill>
    <fill>
      <patternFill patternType="solid">
        <fgColor indexed="9"/>
      </patternFill>
    </fill>
    <fill>
      <patternFill patternType="solid">
        <fgColor rgb="FFF2F2F2"/>
      </patternFill>
    </fill>
    <fill>
      <patternFill patternType="solid">
        <fgColor theme="4" tint="0.79998168889431442"/>
        <bgColor indexed="64"/>
      </patternFill>
    </fill>
    <fill>
      <patternFill patternType="solid">
        <fgColor rgb="FFA9C398"/>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003F5F"/>
        <bgColor indexed="64"/>
      </patternFill>
    </fill>
    <fill>
      <patternFill patternType="solid">
        <fgColor theme="3" tint="0.59999389629810485"/>
        <bgColor indexed="64"/>
      </patternFill>
    </fill>
    <fill>
      <patternFill patternType="solid">
        <fgColor theme="1" tint="0.249977111117893"/>
        <bgColor indexed="64"/>
      </patternFill>
    </fill>
    <fill>
      <patternFill patternType="solid">
        <fgColor theme="0"/>
        <bgColor indexed="64"/>
      </patternFill>
    </fill>
    <fill>
      <patternFill patternType="solid">
        <fgColor theme="3" tint="0.79998168889431442"/>
        <bgColor indexed="64"/>
      </patternFill>
    </fill>
  </fills>
  <borders count="92">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34998626667073579"/>
      </left>
      <right style="thin">
        <color theme="0" tint="-0.14996795556505021"/>
      </right>
      <top style="thin">
        <color theme="0" tint="-0.34998626667073579"/>
      </top>
      <bottom style="thin">
        <color theme="0" tint="-0.14996795556505021"/>
      </bottom>
      <diagonal/>
    </border>
    <border>
      <left style="thin">
        <color theme="0" tint="-0.34998626667073579"/>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0.34998626667073579"/>
      </right>
      <top style="thin">
        <color theme="0" tint="-0.34998626667073579"/>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34998626667073579"/>
      </bottom>
      <diagonal/>
    </border>
    <border>
      <left style="thin">
        <color theme="0" tint="-0.24994659260841701"/>
      </left>
      <right style="thin">
        <color theme="0" tint="-0.34998626667073579"/>
      </right>
      <top style="thin">
        <color theme="0" tint="-0.24994659260841701"/>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right style="thin">
        <color theme="0" tint="-0.24994659260841701"/>
      </right>
      <top style="thin">
        <color theme="0" tint="-0.34998626667073579"/>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34998626667073579"/>
      </bottom>
      <diagonal/>
    </border>
    <border>
      <left style="thin">
        <color theme="0" tint="-0.24994659260841701"/>
      </left>
      <right style="thin">
        <color indexed="64"/>
      </right>
      <top style="thin">
        <color theme="0" tint="-0.34998626667073579"/>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34998626667073579"/>
      </bottom>
      <diagonal/>
    </border>
    <border>
      <left style="thin">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64"/>
      </left>
      <right style="thin">
        <color theme="0" tint="-0.24994659260841701"/>
      </right>
      <top style="thin">
        <color theme="0" tint="-0.34998626667073579"/>
      </top>
      <bottom style="thin">
        <color theme="0" tint="-0.24994659260841701"/>
      </bottom>
      <diagonal/>
    </border>
    <border>
      <left style="thin">
        <color indexed="64"/>
      </left>
      <right style="thin">
        <color theme="0" tint="-0.24994659260841701"/>
      </right>
      <top style="thin">
        <color theme="0" tint="-0.24994659260841701"/>
      </top>
      <bottom style="thin">
        <color theme="0" tint="-0.34998626667073579"/>
      </bottom>
      <diagonal/>
    </border>
    <border>
      <left/>
      <right/>
      <top/>
      <bottom style="thin">
        <color theme="1" tint="0.499984740745262"/>
      </bottom>
      <diagonal/>
    </border>
    <border>
      <left style="medium">
        <color rgb="FFFFFFFF"/>
      </left>
      <right style="thin">
        <color rgb="FFA6A6A6"/>
      </right>
      <top/>
      <bottom style="thin">
        <color rgb="FFA6A6A6"/>
      </bottom>
      <diagonal/>
    </border>
    <border>
      <left style="thin">
        <color rgb="FFA6A6A6"/>
      </left>
      <right style="thin">
        <color rgb="FFA6A6A6"/>
      </right>
      <top/>
      <bottom style="thin">
        <color rgb="FFA6A6A6"/>
      </bottom>
      <diagonal/>
    </border>
    <border>
      <left style="thin">
        <color rgb="FFA6A6A6"/>
      </left>
      <right/>
      <top/>
      <bottom style="thin">
        <color rgb="FFA6A6A6"/>
      </bottom>
      <diagonal/>
    </border>
    <border>
      <left/>
      <right style="thin">
        <color rgb="FFA6A6A6"/>
      </right>
      <top/>
      <bottom style="thin">
        <color rgb="FFA6A6A6"/>
      </bottom>
      <diagonal/>
    </border>
    <border>
      <left style="medium">
        <color rgb="FFFFFFFF"/>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medium">
        <color rgb="FFFFFFFF"/>
      </right>
      <top style="thin">
        <color rgb="FFA6A6A6"/>
      </top>
      <bottom style="thin">
        <color rgb="FFA6A6A6"/>
      </bottom>
      <diagonal/>
    </border>
    <border>
      <left/>
      <right/>
      <top/>
      <bottom style="thin">
        <color rgb="FFA6A6A6"/>
      </bottom>
      <diagonal/>
    </border>
    <border>
      <left/>
      <right/>
      <top style="thin">
        <color rgb="FFA6A6A6"/>
      </top>
      <bottom/>
      <diagonal/>
    </border>
    <border>
      <left style="medium">
        <color rgb="FFFFFFFF"/>
      </left>
      <right style="thin">
        <color rgb="FFA6A6A6"/>
      </right>
      <top style="thin">
        <color rgb="FFA6A6A6"/>
      </top>
      <bottom style="medium">
        <color rgb="FFFFFFFF"/>
      </bottom>
      <diagonal/>
    </border>
    <border>
      <left style="thin">
        <color rgb="FFA6A6A6"/>
      </left>
      <right style="medium">
        <color rgb="FFFFFFFF"/>
      </right>
      <top style="thin">
        <color rgb="FFA6A6A6"/>
      </top>
      <bottom style="medium">
        <color rgb="FFFFFFFF"/>
      </bottom>
      <diagonal/>
    </border>
    <border>
      <left/>
      <right/>
      <top/>
      <bottom style="thin">
        <color theme="0" tint="-0.34998626667073579"/>
      </bottom>
      <diagonal/>
    </border>
    <border>
      <left/>
      <right/>
      <top style="thin">
        <color theme="1"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bottom style="thin">
        <color theme="1" tint="0.499984740745262"/>
      </bottom>
      <diagonal/>
    </border>
    <border>
      <left style="thin">
        <color indexed="64"/>
      </left>
      <right/>
      <top style="thin">
        <color theme="1" tint="0.499984740745262"/>
      </top>
      <bottom style="thin">
        <color indexed="64"/>
      </bottom>
      <diagonal/>
    </border>
    <border>
      <left/>
      <right/>
      <top style="thin">
        <color theme="1" tint="0.499984740745262"/>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bottom style="thin">
        <color theme="1" tint="0.499984740745262"/>
      </bottom>
      <diagonal/>
    </border>
  </borders>
  <cellStyleXfs count="19">
    <xf numFmtId="0" fontId="0" fillId="0" borderId="0"/>
    <xf numFmtId="43" fontId="9"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0" fontId="2" fillId="0" borderId="0"/>
    <xf numFmtId="0" fontId="1" fillId="2" borderId="0"/>
    <xf numFmtId="0" fontId="2" fillId="0" borderId="0"/>
    <xf numFmtId="0" fontId="9" fillId="0" borderId="0"/>
    <xf numFmtId="0" fontId="1" fillId="0" borderId="0"/>
    <xf numFmtId="0" fontId="1" fillId="2" borderId="0"/>
    <xf numFmtId="0" fontId="1" fillId="2" borderId="0"/>
    <xf numFmtId="0" fontId="1" fillId="0" borderId="0"/>
    <xf numFmtId="0" fontId="2" fillId="0" borderId="0"/>
    <xf numFmtId="0" fontId="2" fillId="0" borderId="0"/>
    <xf numFmtId="0" fontId="2" fillId="0" borderId="0"/>
    <xf numFmtId="0" fontId="10" fillId="3" borderId="9" applyNumberFormat="0" applyAlignment="0" applyProtection="0"/>
    <xf numFmtId="9" fontId="9"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cellStyleXfs>
  <cellXfs count="566">
    <xf numFmtId="0" fontId="0" fillId="0" borderId="0" xfId="0"/>
    <xf numFmtId="0" fontId="11" fillId="0" borderId="0" xfId="0" applyFont="1" applyFill="1" applyBorder="1"/>
    <xf numFmtId="0" fontId="11" fillId="0" borderId="0" xfId="0" applyFont="1" applyBorder="1"/>
    <xf numFmtId="0" fontId="12" fillId="4" borderId="0" xfId="7" applyFont="1" applyFill="1" applyBorder="1" applyAlignment="1">
      <alignment horizontal="centerContinuous"/>
    </xf>
    <xf numFmtId="0" fontId="11" fillId="4" borderId="0" xfId="7" applyFont="1" applyFill="1" applyBorder="1" applyAlignment="1">
      <alignment horizontal="centerContinuous"/>
    </xf>
    <xf numFmtId="0" fontId="11" fillId="0" borderId="0" xfId="0" applyFont="1" applyBorder="1" applyAlignment="1">
      <alignment wrapText="1"/>
    </xf>
    <xf numFmtId="0" fontId="13" fillId="0" borderId="0" xfId="0" applyFont="1" applyBorder="1" applyAlignment="1">
      <alignment wrapText="1"/>
    </xf>
    <xf numFmtId="0" fontId="11" fillId="0" borderId="0" xfId="0" applyFont="1" applyBorder="1" applyAlignment="1">
      <alignment horizontal="centerContinuous"/>
    </xf>
    <xf numFmtId="43" fontId="11" fillId="0" borderId="0" xfId="1" applyFont="1" applyBorder="1"/>
    <xf numFmtId="166" fontId="11" fillId="0" borderId="0" xfId="1" applyNumberFormat="1" applyFont="1" applyBorder="1"/>
    <xf numFmtId="9" fontId="11" fillId="0" borderId="0" xfId="16" applyFont="1" applyBorder="1"/>
    <xf numFmtId="9" fontId="11" fillId="0" borderId="0" xfId="16" applyFont="1" applyFill="1" applyBorder="1"/>
    <xf numFmtId="0" fontId="12" fillId="0" borderId="0" xfId="7" applyFont="1" applyFill="1" applyBorder="1" applyAlignment="1">
      <alignment horizontal="centerContinuous"/>
    </xf>
    <xf numFmtId="0" fontId="11" fillId="0" borderId="0" xfId="7" applyFont="1" applyFill="1" applyBorder="1" applyAlignment="1">
      <alignment horizontal="centerContinuous"/>
    </xf>
    <xf numFmtId="0" fontId="13" fillId="0" borderId="0" xfId="0" applyFont="1" applyFill="1" applyBorder="1"/>
    <xf numFmtId="4" fontId="5" fillId="0" borderId="0" xfId="2" applyNumberFormat="1" applyFont="1" applyFill="1" applyBorder="1" applyAlignment="1">
      <alignment horizontal="center"/>
    </xf>
    <xf numFmtId="0" fontId="5" fillId="0" borderId="0" xfId="11" applyFont="1" applyFill="1" applyBorder="1"/>
    <xf numFmtId="0" fontId="4" fillId="0" borderId="0" xfId="9" applyFont="1" applyFill="1" applyBorder="1" applyAlignment="1">
      <alignment horizontal="center"/>
    </xf>
    <xf numFmtId="0" fontId="4" fillId="0" borderId="0" xfId="12" applyFont="1" applyFill="1" applyBorder="1"/>
    <xf numFmtId="0" fontId="5" fillId="0" borderId="0" xfId="9" applyFont="1" applyFill="1" applyBorder="1"/>
    <xf numFmtId="0" fontId="5" fillId="0" borderId="0" xfId="9" quotePrefix="1" applyFont="1" applyFill="1" applyBorder="1"/>
    <xf numFmtId="0" fontId="5" fillId="0" borderId="0" xfId="12" applyFont="1" applyFill="1" applyBorder="1"/>
    <xf numFmtId="0" fontId="5" fillId="0" borderId="0" xfId="6" applyNumberFormat="1" applyFont="1" applyFill="1" applyBorder="1"/>
    <xf numFmtId="0" fontId="5" fillId="0" borderId="0" xfId="14" applyFont="1" applyFill="1" applyBorder="1" applyAlignment="1">
      <alignment horizontal="centerContinuous"/>
    </xf>
    <xf numFmtId="0" fontId="5" fillId="0" borderId="0" xfId="14" applyFont="1" applyFill="1" applyBorder="1"/>
    <xf numFmtId="0" fontId="5" fillId="0" borderId="0" xfId="6" applyNumberFormat="1" applyFont="1" applyFill="1" applyBorder="1" applyAlignment="1">
      <alignment vertical="center"/>
    </xf>
    <xf numFmtId="2" fontId="5" fillId="0" borderId="0" xfId="9" applyNumberFormat="1" applyFont="1" applyFill="1" applyBorder="1" applyAlignment="1">
      <alignment horizontal="center"/>
    </xf>
    <xf numFmtId="2" fontId="5" fillId="0" borderId="0" xfId="14" applyNumberFormat="1" applyFont="1" applyFill="1" applyBorder="1" applyAlignment="1" applyProtection="1">
      <alignment horizontal="center"/>
      <protection locked="0"/>
    </xf>
    <xf numFmtId="0" fontId="6" fillId="0" borderId="0" xfId="11" applyFont="1" applyFill="1" applyBorder="1"/>
    <xf numFmtId="0" fontId="6" fillId="0" borderId="0" xfId="6" applyNumberFormat="1" applyFont="1" applyFill="1" applyBorder="1"/>
    <xf numFmtId="0" fontId="5" fillId="0" borderId="0" xfId="12" applyFont="1" applyFill="1" applyBorder="1" applyAlignment="1">
      <alignment horizontal="centerContinuous"/>
    </xf>
    <xf numFmtId="0" fontId="5" fillId="0" borderId="0" xfId="12" applyFont="1" applyFill="1" applyBorder="1" applyAlignment="1">
      <alignment horizontal="center" vertical="center" wrapText="1"/>
    </xf>
    <xf numFmtId="0" fontId="4" fillId="0" borderId="0" xfId="6" applyFont="1" applyFill="1" applyBorder="1"/>
    <xf numFmtId="0" fontId="5" fillId="0" borderId="0" xfId="9" applyFont="1" applyFill="1" applyBorder="1" applyAlignment="1">
      <alignment horizontal="centerContinuous"/>
    </xf>
    <xf numFmtId="0" fontId="5" fillId="0" borderId="0" xfId="11" applyFont="1" applyFill="1" applyBorder="1" applyAlignment="1">
      <alignment horizontal="centerContinuous"/>
    </xf>
    <xf numFmtId="0" fontId="5" fillId="0" borderId="0" xfId="4" applyFont="1" applyFill="1" applyBorder="1"/>
    <xf numFmtId="0" fontId="4" fillId="0" borderId="0" xfId="4" applyFont="1" applyFill="1" applyBorder="1"/>
    <xf numFmtId="0" fontId="4" fillId="0" borderId="0" xfId="6" applyNumberFormat="1" applyFont="1" applyFill="1" applyBorder="1"/>
    <xf numFmtId="2" fontId="5" fillId="0" borderId="0" xfId="12" applyNumberFormat="1" applyFont="1" applyFill="1" applyBorder="1" applyAlignment="1">
      <alignment horizontal="center"/>
    </xf>
    <xf numFmtId="165" fontId="5" fillId="0" borderId="0" xfId="14" applyNumberFormat="1" applyFont="1" applyFill="1" applyBorder="1" applyAlignment="1" applyProtection="1">
      <alignment horizontal="center"/>
      <protection locked="0"/>
    </xf>
    <xf numFmtId="9" fontId="5" fillId="0" borderId="0" xfId="6" applyNumberFormat="1" applyFont="1" applyFill="1" applyBorder="1"/>
    <xf numFmtId="2" fontId="5" fillId="0" borderId="0" xfId="14" applyNumberFormat="1" applyFont="1" applyFill="1" applyBorder="1" applyProtection="1">
      <protection locked="0"/>
    </xf>
    <xf numFmtId="0" fontId="5" fillId="0" borderId="0" xfId="14" applyFont="1" applyFill="1" applyBorder="1" applyAlignment="1">
      <alignment horizontal="center"/>
    </xf>
    <xf numFmtId="2" fontId="5" fillId="0" borderId="0" xfId="6" applyNumberFormat="1" applyFont="1" applyFill="1" applyBorder="1" applyAlignment="1">
      <alignment horizontal="center"/>
    </xf>
    <xf numFmtId="0" fontId="5" fillId="0" borderId="0" xfId="6" applyFont="1" applyFill="1" applyBorder="1"/>
    <xf numFmtId="0" fontId="14" fillId="0" borderId="0" xfId="9" applyFont="1" applyFill="1" applyBorder="1" applyAlignment="1"/>
    <xf numFmtId="0" fontId="7" fillId="0" borderId="0" xfId="9" applyFont="1" applyFill="1" applyBorder="1" applyAlignment="1">
      <alignment horizontal="left" vertical="center"/>
    </xf>
    <xf numFmtId="0" fontId="6" fillId="0" borderId="0" xfId="4" applyFont="1" applyFill="1" applyBorder="1"/>
    <xf numFmtId="0" fontId="4" fillId="0" borderId="1" xfId="12" applyFont="1" applyFill="1" applyBorder="1"/>
    <xf numFmtId="0" fontId="5" fillId="0" borderId="1" xfId="9" applyFont="1" applyFill="1" applyBorder="1" applyAlignment="1">
      <alignment horizontal="centerContinuous"/>
    </xf>
    <xf numFmtId="0" fontId="4" fillId="0" borderId="0" xfId="8" applyFont="1" applyFill="1" applyBorder="1" applyAlignment="1">
      <alignment horizontal="centerContinuous"/>
    </xf>
    <xf numFmtId="0" fontId="4" fillId="0" borderId="0" xfId="6" applyFont="1" applyFill="1" applyBorder="1" applyAlignment="1">
      <alignment horizontal="centerContinuous"/>
    </xf>
    <xf numFmtId="0" fontId="4" fillId="0" borderId="0" xfId="6" applyFont="1" applyBorder="1"/>
    <xf numFmtId="0" fontId="5" fillId="0" borderId="0" xfId="13" applyFont="1" applyFill="1" applyBorder="1"/>
    <xf numFmtId="0" fontId="5" fillId="0" borderId="0" xfId="13" applyFont="1" applyFill="1" applyBorder="1" applyAlignment="1">
      <alignment horizontal="centerContinuous"/>
    </xf>
    <xf numFmtId="0" fontId="5" fillId="0" borderId="0" xfId="12" applyFont="1" applyFill="1" applyBorder="1" applyAlignment="1">
      <alignment horizontal="center"/>
    </xf>
    <xf numFmtId="0" fontId="5" fillId="0" borderId="0" xfId="14" applyFont="1" applyFill="1" applyBorder="1" applyAlignment="1"/>
    <xf numFmtId="9" fontId="5" fillId="0" borderId="0" xfId="17" applyFont="1" applyFill="1" applyBorder="1" applyAlignment="1">
      <alignment horizontal="center"/>
    </xf>
    <xf numFmtId="9" fontId="5" fillId="0" borderId="0" xfId="12" applyNumberFormat="1" applyFont="1" applyFill="1" applyBorder="1" applyAlignment="1">
      <alignment horizontal="center"/>
    </xf>
    <xf numFmtId="3" fontId="5" fillId="0" borderId="0" xfId="12" applyNumberFormat="1" applyFont="1" applyFill="1" applyBorder="1" applyAlignment="1">
      <alignment horizontal="center"/>
    </xf>
    <xf numFmtId="4" fontId="5" fillId="0" borderId="0" xfId="14" applyNumberFormat="1" applyFont="1" applyFill="1" applyBorder="1" applyAlignment="1">
      <alignment horizontal="center"/>
    </xf>
    <xf numFmtId="0" fontId="6" fillId="0" borderId="0" xfId="9" applyFont="1" applyFill="1" applyBorder="1" applyAlignment="1">
      <alignment horizontal="centerContinuous"/>
    </xf>
    <xf numFmtId="0" fontId="6" fillId="0" borderId="0" xfId="11" applyFont="1" applyFill="1" applyBorder="1" applyAlignment="1">
      <alignment horizontal="centerContinuous"/>
    </xf>
    <xf numFmtId="0" fontId="5" fillId="0" borderId="0" xfId="10" applyFont="1" applyFill="1" applyBorder="1"/>
    <xf numFmtId="0" fontId="5" fillId="0" borderId="0" xfId="9" applyFont="1" applyFill="1" applyBorder="1" applyAlignment="1">
      <alignment horizontal="center"/>
    </xf>
    <xf numFmtId="0" fontId="5" fillId="0" borderId="0" xfId="14" applyFont="1" applyFill="1" applyBorder="1" applyProtection="1">
      <protection locked="0"/>
    </xf>
    <xf numFmtId="0" fontId="5" fillId="0" borderId="0" xfId="6" applyNumberFormat="1" applyFont="1" applyFill="1" applyBorder="1" applyAlignment="1">
      <alignment wrapText="1"/>
    </xf>
    <xf numFmtId="0" fontId="5" fillId="0" borderId="0" xfId="14" applyFont="1" applyFill="1" applyBorder="1" applyAlignment="1">
      <alignment horizontal="center" vertical="center"/>
    </xf>
    <xf numFmtId="2" fontId="5" fillId="0" borderId="0" xfId="9" applyNumberFormat="1" applyFont="1" applyFill="1" applyBorder="1" applyAlignment="1">
      <alignment horizontal="center" vertical="center"/>
    </xf>
    <xf numFmtId="0" fontId="5" fillId="0" borderId="0" xfId="14" applyFont="1" applyFill="1" applyBorder="1" applyAlignment="1">
      <alignment vertical="center"/>
    </xf>
    <xf numFmtId="2" fontId="5" fillId="0" borderId="0" xfId="14" applyNumberFormat="1" applyFont="1" applyFill="1" applyBorder="1" applyAlignment="1" applyProtection="1">
      <alignment horizontal="center" vertical="center"/>
      <protection locked="0"/>
    </xf>
    <xf numFmtId="0" fontId="5" fillId="0" borderId="0" xfId="12" applyFont="1" applyFill="1" applyBorder="1" applyAlignment="1">
      <alignment horizontal="center" wrapText="1"/>
    </xf>
    <xf numFmtId="0" fontId="5" fillId="0" borderId="0" xfId="4" applyFont="1" applyFill="1" applyBorder="1" applyAlignment="1">
      <alignment horizontal="center" vertical="center"/>
    </xf>
    <xf numFmtId="0" fontId="5" fillId="0" borderId="0" xfId="13" applyFont="1" applyFill="1" applyBorder="1" applyAlignment="1">
      <alignment horizontal="center" vertical="center" wrapText="1"/>
    </xf>
    <xf numFmtId="0" fontId="5" fillId="0" borderId="2" xfId="12" applyFont="1" applyFill="1" applyBorder="1" applyAlignment="1">
      <alignment horizontal="center"/>
    </xf>
    <xf numFmtId="0" fontId="5" fillId="0" borderId="3" xfId="12" applyFont="1" applyFill="1" applyBorder="1" applyAlignment="1">
      <alignment horizontal="center"/>
    </xf>
    <xf numFmtId="0" fontId="5" fillId="0" borderId="1" xfId="12" applyFont="1" applyFill="1" applyBorder="1" applyAlignment="1">
      <alignment horizontal="center"/>
    </xf>
    <xf numFmtId="0" fontId="5" fillId="0" borderId="0" xfId="12" applyFont="1" applyFill="1" applyBorder="1" applyAlignment="1">
      <alignment vertical="center" wrapText="1"/>
    </xf>
    <xf numFmtId="0" fontId="5" fillId="0" borderId="0" xfId="6" applyFont="1" applyFill="1" applyBorder="1" applyAlignment="1">
      <alignment vertical="center" wrapText="1"/>
    </xf>
    <xf numFmtId="0" fontId="5" fillId="0" borderId="2" xfId="6" applyFont="1" applyFill="1" applyBorder="1" applyAlignment="1">
      <alignment vertical="center" wrapText="1"/>
    </xf>
    <xf numFmtId="0" fontId="5" fillId="0" borderId="1"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4" fillId="0" borderId="0" xfId="13" applyFont="1" applyFill="1" applyBorder="1"/>
    <xf numFmtId="0" fontId="4" fillId="0" borderId="0" xfId="13" applyFont="1" applyFill="1" applyBorder="1" applyAlignment="1">
      <alignment horizontal="centerContinuous"/>
    </xf>
    <xf numFmtId="0" fontId="5" fillId="0" borderId="5" xfId="12" applyFont="1" applyFill="1" applyBorder="1" applyAlignment="1">
      <alignment horizontal="center" wrapText="1"/>
    </xf>
    <xf numFmtId="0" fontId="5" fillId="0" borderId="6" xfId="12" applyFont="1" applyFill="1" applyBorder="1" applyAlignment="1">
      <alignment horizontal="center" wrapText="1"/>
    </xf>
    <xf numFmtId="0" fontId="5" fillId="0" borderId="7" xfId="13" applyFont="1" applyFill="1" applyBorder="1" applyAlignment="1">
      <alignment horizontal="center" vertical="center" wrapText="1"/>
    </xf>
    <xf numFmtId="0" fontId="14" fillId="0" borderId="0" xfId="6" applyFont="1" applyFill="1" applyBorder="1" applyAlignment="1">
      <alignment vertical="center" wrapText="1"/>
    </xf>
    <xf numFmtId="0" fontId="5" fillId="0" borderId="8" xfId="14" applyFont="1" applyFill="1" applyBorder="1" applyAlignment="1">
      <alignment horizontal="centerContinuous"/>
    </xf>
    <xf numFmtId="4" fontId="5" fillId="0" borderId="11" xfId="2" applyNumberFormat="1" applyFont="1" applyFill="1" applyBorder="1" applyAlignment="1">
      <alignment horizontal="center"/>
    </xf>
    <xf numFmtId="4" fontId="5" fillId="0" borderId="12" xfId="14" applyNumberFormat="1" applyFont="1" applyFill="1" applyBorder="1" applyAlignment="1">
      <alignment horizontal="center"/>
    </xf>
    <xf numFmtId="4" fontId="5" fillId="0" borderId="13" xfId="2" applyNumberFormat="1" applyFont="1" applyFill="1" applyBorder="1" applyAlignment="1">
      <alignment horizontal="center"/>
    </xf>
    <xf numFmtId="4" fontId="5" fillId="0" borderId="14" xfId="14" applyNumberFormat="1" applyFont="1" applyFill="1" applyBorder="1" applyAlignment="1">
      <alignment horizontal="center"/>
    </xf>
    <xf numFmtId="4" fontId="5" fillId="0" borderId="15" xfId="2" applyNumberFormat="1" applyFont="1" applyFill="1" applyBorder="1" applyAlignment="1">
      <alignment horizontal="center"/>
    </xf>
    <xf numFmtId="4" fontId="5" fillId="0" borderId="16" xfId="14" applyNumberFormat="1" applyFont="1" applyFill="1" applyBorder="1" applyAlignment="1">
      <alignment horizontal="center"/>
    </xf>
    <xf numFmtId="4" fontId="5" fillId="0" borderId="17" xfId="2" applyNumberFormat="1" applyFont="1" applyFill="1" applyBorder="1" applyAlignment="1">
      <alignment horizontal="center"/>
    </xf>
    <xf numFmtId="4" fontId="5" fillId="0" borderId="12" xfId="2" applyNumberFormat="1" applyFont="1" applyFill="1" applyBorder="1" applyAlignment="1">
      <alignment horizontal="center"/>
    </xf>
    <xf numFmtId="4" fontId="5" fillId="0" borderId="18" xfId="2" applyNumberFormat="1" applyFont="1" applyFill="1" applyBorder="1" applyAlignment="1">
      <alignment horizontal="center"/>
    </xf>
    <xf numFmtId="4" fontId="5" fillId="0" borderId="14" xfId="2" applyNumberFormat="1" applyFont="1" applyFill="1" applyBorder="1" applyAlignment="1">
      <alignment horizontal="center"/>
    </xf>
    <xf numFmtId="4" fontId="5" fillId="0" borderId="19" xfId="2" applyNumberFormat="1" applyFont="1" applyFill="1" applyBorder="1" applyAlignment="1">
      <alignment horizontal="center"/>
    </xf>
    <xf numFmtId="4" fontId="5" fillId="0" borderId="16" xfId="2" applyNumberFormat="1" applyFont="1" applyFill="1" applyBorder="1" applyAlignment="1">
      <alignment horizontal="center"/>
    </xf>
    <xf numFmtId="4" fontId="5" fillId="0" borderId="20" xfId="2" applyNumberFormat="1" applyFont="1" applyFill="1" applyBorder="1" applyAlignment="1">
      <alignment horizontal="center"/>
    </xf>
    <xf numFmtId="4" fontId="5" fillId="0" borderId="21" xfId="2" applyNumberFormat="1" applyFont="1" applyFill="1" applyBorder="1" applyAlignment="1">
      <alignment horizontal="center"/>
    </xf>
    <xf numFmtId="4" fontId="5" fillId="0" borderId="22" xfId="2" applyNumberFormat="1" applyFont="1" applyFill="1" applyBorder="1" applyAlignment="1">
      <alignment horizontal="center"/>
    </xf>
    <xf numFmtId="4" fontId="5" fillId="0" borderId="23" xfId="2" applyNumberFormat="1" applyFont="1" applyFill="1" applyBorder="1" applyAlignment="1">
      <alignment horizontal="center"/>
    </xf>
    <xf numFmtId="4" fontId="5" fillId="0" borderId="24" xfId="2" applyNumberFormat="1" applyFont="1" applyFill="1" applyBorder="1" applyAlignment="1">
      <alignment horizontal="center"/>
    </xf>
    <xf numFmtId="4" fontId="5" fillId="0" borderId="25" xfId="2" applyNumberFormat="1" applyFont="1" applyFill="1" applyBorder="1" applyAlignment="1">
      <alignment horizontal="center"/>
    </xf>
    <xf numFmtId="4" fontId="5" fillId="0" borderId="26" xfId="2" applyNumberFormat="1" applyFont="1" applyFill="1" applyBorder="1" applyAlignment="1">
      <alignment horizontal="center"/>
    </xf>
    <xf numFmtId="164" fontId="5" fillId="0" borderId="27" xfId="2" applyNumberFormat="1" applyFont="1" applyFill="1" applyBorder="1" applyAlignment="1">
      <alignment horizontal="center"/>
    </xf>
    <xf numFmtId="164" fontId="5" fillId="0" borderId="28" xfId="2" applyNumberFormat="1" applyFont="1" applyFill="1" applyBorder="1" applyAlignment="1">
      <alignment horizontal="center"/>
    </xf>
    <xf numFmtId="164" fontId="5" fillId="0" borderId="21" xfId="2" applyNumberFormat="1" applyFont="1" applyFill="1" applyBorder="1" applyAlignment="1">
      <alignment horizontal="center"/>
    </xf>
    <xf numFmtId="164" fontId="5" fillId="0" borderId="29" xfId="2" applyNumberFormat="1" applyFont="1" applyFill="1" applyBorder="1" applyAlignment="1">
      <alignment horizontal="center"/>
    </xf>
    <xf numFmtId="164" fontId="5" fillId="0" borderId="30" xfId="2" applyNumberFormat="1" applyFont="1" applyFill="1" applyBorder="1" applyAlignment="1">
      <alignment horizontal="center"/>
    </xf>
    <xf numFmtId="164" fontId="5" fillId="0" borderId="31" xfId="2" applyNumberFormat="1" applyFont="1" applyFill="1" applyBorder="1" applyAlignment="1">
      <alignment horizontal="center"/>
    </xf>
    <xf numFmtId="4" fontId="5" fillId="0" borderId="32" xfId="2" applyNumberFormat="1" applyFont="1" applyFill="1" applyBorder="1" applyAlignment="1">
      <alignment horizontal="center"/>
    </xf>
    <xf numFmtId="4" fontId="5" fillId="0" borderId="33" xfId="2" applyNumberFormat="1" applyFont="1" applyFill="1" applyBorder="1" applyAlignment="1">
      <alignment horizontal="center"/>
    </xf>
    <xf numFmtId="0" fontId="14" fillId="0" borderId="8" xfId="6" applyFont="1" applyFill="1" applyBorder="1" applyAlignment="1">
      <alignment vertical="center" wrapText="1"/>
    </xf>
    <xf numFmtId="0" fontId="14" fillId="0" borderId="7" xfId="6" applyFont="1" applyFill="1" applyBorder="1" applyAlignment="1">
      <alignment vertical="center" wrapText="1"/>
    </xf>
    <xf numFmtId="0" fontId="5" fillId="0" borderId="0" xfId="12" applyFont="1" applyFill="1" applyBorder="1" applyAlignment="1">
      <alignment horizontal="center" vertical="top"/>
    </xf>
    <xf numFmtId="0" fontId="5" fillId="0" borderId="0" xfId="12" applyFont="1" applyFill="1" applyBorder="1" applyAlignment="1">
      <alignment horizontal="center" vertical="top" wrapText="1"/>
    </xf>
    <xf numFmtId="0" fontId="4" fillId="0" borderId="0" xfId="6" applyFont="1" applyFill="1" applyBorder="1" applyAlignment="1">
      <alignment vertical="top"/>
    </xf>
    <xf numFmtId="0" fontId="4" fillId="0" borderId="2" xfId="9" applyFont="1" applyFill="1" applyBorder="1" applyAlignment="1">
      <alignment horizontal="left"/>
    </xf>
    <xf numFmtId="0" fontId="4" fillId="0" borderId="2" xfId="9" applyFont="1" applyFill="1" applyBorder="1" applyAlignment="1">
      <alignment horizontal="right"/>
    </xf>
    <xf numFmtId="0" fontId="4" fillId="0" borderId="2" xfId="9" applyFont="1" applyFill="1" applyBorder="1" applyAlignment="1">
      <alignment horizontal="center"/>
    </xf>
    <xf numFmtId="0" fontId="4" fillId="0" borderId="2" xfId="12" applyFont="1" applyFill="1" applyBorder="1"/>
    <xf numFmtId="0" fontId="7" fillId="0" borderId="2" xfId="9" applyFont="1" applyFill="1" applyBorder="1" applyAlignment="1">
      <alignment horizontal="left" vertical="center"/>
    </xf>
    <xf numFmtId="0" fontId="5" fillId="0" borderId="2" xfId="11" applyFont="1" applyFill="1" applyBorder="1" applyAlignment="1">
      <alignment horizontal="centerContinuous"/>
    </xf>
    <xf numFmtId="0" fontId="5" fillId="0" borderId="2" xfId="9" applyFont="1" applyFill="1" applyBorder="1" applyAlignment="1">
      <alignment horizontal="centerContinuous"/>
    </xf>
    <xf numFmtId="0" fontId="5" fillId="5" borderId="6" xfId="12" applyFont="1" applyFill="1" applyBorder="1" applyAlignment="1">
      <alignment horizontal="center" vertical="center" wrapText="1"/>
    </xf>
    <xf numFmtId="0" fontId="5" fillId="5" borderId="1" xfId="12" applyFont="1" applyFill="1" applyBorder="1" applyAlignment="1">
      <alignment horizontal="center" vertical="center" wrapText="1"/>
    </xf>
    <xf numFmtId="0" fontId="5" fillId="5" borderId="3" xfId="14" applyFont="1" applyFill="1" applyBorder="1" applyAlignment="1">
      <alignment horizontal="centerContinuous"/>
    </xf>
    <xf numFmtId="0" fontId="5" fillId="5" borderId="2" xfId="12" applyFont="1" applyFill="1" applyBorder="1" applyAlignment="1">
      <alignment horizontal="centerContinuous"/>
    </xf>
    <xf numFmtId="0" fontId="5" fillId="5" borderId="2" xfId="14" applyFont="1" applyFill="1" applyBorder="1" applyAlignment="1">
      <alignment horizontal="centerContinuous"/>
    </xf>
    <xf numFmtId="0" fontId="5" fillId="5" borderId="1" xfId="12" applyFont="1" applyFill="1" applyBorder="1" applyAlignment="1">
      <alignment horizontal="centerContinuous"/>
    </xf>
    <xf numFmtId="9" fontId="5" fillId="5" borderId="3" xfId="14" applyNumberFormat="1" applyFont="1" applyFill="1" applyBorder="1" applyAlignment="1">
      <alignment horizontal="center"/>
    </xf>
    <xf numFmtId="9" fontId="5" fillId="5" borderId="1" xfId="14" applyNumberFormat="1" applyFont="1" applyFill="1" applyBorder="1" applyAlignment="1">
      <alignment horizontal="center"/>
    </xf>
    <xf numFmtId="0" fontId="5" fillId="0" borderId="1" xfId="11" applyFont="1" applyFill="1" applyBorder="1" applyAlignment="1">
      <alignment horizontal="centerContinuous"/>
    </xf>
    <xf numFmtId="0" fontId="15" fillId="6" borderId="0" xfId="6" applyFont="1" applyFill="1" applyBorder="1" applyAlignment="1">
      <alignment horizontal="center"/>
    </xf>
    <xf numFmtId="0" fontId="12" fillId="4" borderId="0" xfId="7" applyFont="1" applyFill="1" applyBorder="1" applyAlignment="1">
      <alignment horizontal="centerContinuous" wrapText="1"/>
    </xf>
    <xf numFmtId="0" fontId="11" fillId="4" borderId="0" xfId="7" applyFont="1" applyFill="1" applyBorder="1" applyAlignment="1">
      <alignment horizontal="centerContinuous" wrapText="1"/>
    </xf>
    <xf numFmtId="0" fontId="8" fillId="0" borderId="0" xfId="6" applyFont="1" applyFill="1" applyBorder="1"/>
    <xf numFmtId="0" fontId="19" fillId="8" borderId="0" xfId="0" applyFont="1" applyFill="1" applyAlignment="1">
      <alignment horizontal="center" vertical="center" wrapText="1"/>
    </xf>
    <xf numFmtId="0" fontId="21" fillId="8" borderId="35" xfId="0" applyFont="1" applyFill="1" applyBorder="1" applyAlignment="1">
      <alignment horizontal="center" vertical="center" wrapText="1" readingOrder="1"/>
    </xf>
    <xf numFmtId="6" fontId="21" fillId="0" borderId="36" xfId="0" applyNumberFormat="1" applyFont="1" applyBorder="1" applyAlignment="1">
      <alignment horizontal="right" vertical="center" wrapText="1" indent="2" readingOrder="1"/>
    </xf>
    <xf numFmtId="6" fontId="21" fillId="0" borderId="37" xfId="0" applyNumberFormat="1" applyFont="1" applyBorder="1" applyAlignment="1">
      <alignment horizontal="right" vertical="center" wrapText="1" indent="2" readingOrder="1"/>
    </xf>
    <xf numFmtId="0" fontId="19" fillId="8" borderId="0" xfId="0" applyFont="1" applyFill="1" applyAlignment="1">
      <alignment horizontal="right" vertical="center" wrapText="1" indent="2"/>
    </xf>
    <xf numFmtId="6" fontId="21" fillId="0" borderId="38" xfId="0" applyNumberFormat="1" applyFont="1" applyBorder="1" applyAlignment="1">
      <alignment horizontal="right" vertical="center" wrapText="1" indent="2" readingOrder="1"/>
    </xf>
    <xf numFmtId="6" fontId="21" fillId="0" borderId="40" xfId="0" applyNumberFormat="1" applyFont="1" applyBorder="1" applyAlignment="1">
      <alignment horizontal="right" vertical="center" wrapText="1" indent="2" readingOrder="1"/>
    </xf>
    <xf numFmtId="6" fontId="21" fillId="0" borderId="41" xfId="0" applyNumberFormat="1" applyFont="1" applyBorder="1" applyAlignment="1">
      <alignment horizontal="right" vertical="center" wrapText="1" indent="2" readingOrder="1"/>
    </xf>
    <xf numFmtId="6" fontId="21" fillId="0" borderId="42" xfId="0" applyNumberFormat="1" applyFont="1" applyBorder="1" applyAlignment="1">
      <alignment horizontal="right" vertical="center" wrapText="1" indent="2" readingOrder="1"/>
    </xf>
    <xf numFmtId="6" fontId="22" fillId="0" borderId="40" xfId="0" applyNumberFormat="1" applyFont="1" applyBorder="1" applyAlignment="1">
      <alignment horizontal="right" vertical="center" wrapText="1" indent="2" readingOrder="1"/>
    </xf>
    <xf numFmtId="6" fontId="22" fillId="0" borderId="41" xfId="0" applyNumberFormat="1" applyFont="1" applyBorder="1" applyAlignment="1">
      <alignment horizontal="right" vertical="center" wrapText="1" indent="2" readingOrder="1"/>
    </xf>
    <xf numFmtId="6" fontId="22" fillId="0" borderId="42" xfId="0" applyNumberFormat="1" applyFont="1" applyBorder="1" applyAlignment="1">
      <alignment horizontal="right" vertical="center" wrapText="1" indent="2" readingOrder="1"/>
    </xf>
    <xf numFmtId="0" fontId="23" fillId="8" borderId="39" xfId="0" applyFont="1" applyFill="1" applyBorder="1" applyAlignment="1">
      <alignment horizontal="center" vertical="center" wrapText="1" readingOrder="1"/>
    </xf>
    <xf numFmtId="6" fontId="23" fillId="0" borderId="40" xfId="0" applyNumberFormat="1" applyFont="1" applyBorder="1" applyAlignment="1">
      <alignment horizontal="right" vertical="center" wrapText="1" indent="2" readingOrder="1"/>
    </xf>
    <xf numFmtId="6" fontId="23" fillId="0" borderId="41" xfId="0" applyNumberFormat="1" applyFont="1" applyBorder="1" applyAlignment="1">
      <alignment horizontal="right" vertical="center" wrapText="1" indent="2" readingOrder="1"/>
    </xf>
    <xf numFmtId="6" fontId="23" fillId="0" borderId="42" xfId="0" applyNumberFormat="1" applyFont="1" applyBorder="1" applyAlignment="1">
      <alignment horizontal="right" vertical="center" wrapText="1" indent="2" readingOrder="1"/>
    </xf>
    <xf numFmtId="6" fontId="23" fillId="0" borderId="43" xfId="0" applyNumberFormat="1" applyFont="1" applyBorder="1" applyAlignment="1">
      <alignment horizontal="right" vertical="center" wrapText="1" indent="2" readingOrder="1"/>
    </xf>
    <xf numFmtId="0" fontId="24" fillId="9" borderId="44" xfId="0" applyFont="1" applyFill="1" applyBorder="1" applyAlignment="1">
      <alignment horizontal="center" vertical="center" wrapText="1" readingOrder="1"/>
    </xf>
    <xf numFmtId="0" fontId="25" fillId="0" borderId="45" xfId="0" applyFont="1" applyBorder="1" applyAlignment="1">
      <alignment horizontal="center" vertical="center" wrapText="1" readingOrder="1"/>
    </xf>
    <xf numFmtId="6" fontId="25" fillId="0" borderId="45" xfId="0" applyNumberFormat="1" applyFont="1" applyBorder="1" applyAlignment="1">
      <alignment horizontal="center" vertical="center" wrapText="1" readingOrder="1"/>
    </xf>
    <xf numFmtId="0" fontId="25" fillId="0" borderId="0" xfId="0" applyFont="1" applyAlignment="1">
      <alignment horizontal="center" vertical="center" wrapText="1" readingOrder="1"/>
    </xf>
    <xf numFmtId="6" fontId="25" fillId="0" borderId="0" xfId="0" applyNumberFormat="1" applyFont="1" applyAlignment="1">
      <alignment horizontal="center" vertical="center" wrapText="1" readingOrder="1"/>
    </xf>
    <xf numFmtId="0" fontId="20" fillId="9" borderId="0" xfId="0" applyFont="1" applyFill="1" applyAlignment="1">
      <alignment horizontal="center" vertical="center" wrapText="1" readingOrder="1"/>
    </xf>
    <xf numFmtId="0" fontId="19" fillId="9" borderId="0" xfId="0" applyFont="1" applyFill="1" applyAlignment="1">
      <alignment horizontal="center" vertical="center" wrapText="1"/>
    </xf>
    <xf numFmtId="0" fontId="0" fillId="9" borderId="0" xfId="0" applyFill="1" applyAlignment="1">
      <alignment horizontal="centerContinuous"/>
    </xf>
    <xf numFmtId="0" fontId="26" fillId="0" borderId="0" xfId="0" applyFont="1"/>
    <xf numFmtId="6" fontId="27" fillId="0" borderId="43" xfId="0" applyNumberFormat="1" applyFont="1" applyBorder="1" applyAlignment="1">
      <alignment horizontal="right" vertical="center" wrapText="1" indent="2" readingOrder="1"/>
    </xf>
    <xf numFmtId="0" fontId="22" fillId="8" borderId="35" xfId="0" applyFont="1" applyFill="1" applyBorder="1" applyAlignment="1">
      <alignment horizontal="center" vertical="center" wrapText="1" readingOrder="1"/>
    </xf>
    <xf numFmtId="6" fontId="22" fillId="0" borderId="37" xfId="0" applyNumberFormat="1" applyFont="1" applyBorder="1" applyAlignment="1">
      <alignment horizontal="right" vertical="center" wrapText="1" indent="2" readingOrder="1"/>
    </xf>
    <xf numFmtId="0" fontId="28" fillId="0" borderId="0" xfId="0" applyFont="1" applyBorder="1" applyAlignment="1" applyProtection="1">
      <alignment wrapText="1"/>
      <protection locked="0"/>
    </xf>
    <xf numFmtId="0" fontId="28" fillId="0" borderId="0" xfId="0" applyFont="1" applyFill="1" applyBorder="1"/>
    <xf numFmtId="0" fontId="5" fillId="0" borderId="0" xfId="14" applyFont="1" applyFill="1" applyBorder="1" applyAlignment="1">
      <alignment horizontal="left"/>
    </xf>
    <xf numFmtId="0" fontId="29" fillId="0" borderId="0" xfId="0" applyFont="1" applyFill="1" applyBorder="1" applyAlignment="1">
      <alignment horizontal="center" vertical="center"/>
    </xf>
    <xf numFmtId="0" fontId="17" fillId="0" borderId="0" xfId="0" applyFont="1" applyFill="1" applyBorder="1"/>
    <xf numFmtId="0" fontId="30" fillId="3" borderId="0" xfId="15" applyNumberFormat="1" applyFont="1" applyBorder="1" applyAlignment="1">
      <alignment horizontal="center" vertical="center"/>
    </xf>
    <xf numFmtId="168" fontId="30" fillId="3" borderId="0" xfId="16" applyNumberFormat="1" applyFont="1" applyFill="1" applyBorder="1" applyAlignment="1">
      <alignment horizontal="center" vertical="center"/>
    </xf>
    <xf numFmtId="0" fontId="28" fillId="0" borderId="0" xfId="0" applyFont="1" applyFill="1" applyBorder="1" applyAlignment="1">
      <alignment horizontal="center" vertical="center"/>
    </xf>
    <xf numFmtId="1" fontId="30" fillId="3" borderId="0" xfId="1" applyNumberFormat="1" applyFont="1" applyFill="1" applyBorder="1" applyAlignment="1">
      <alignment horizontal="center" vertical="center"/>
    </xf>
    <xf numFmtId="0" fontId="28" fillId="0" borderId="0" xfId="0" applyFont="1" applyBorder="1" applyAlignment="1">
      <alignment wrapText="1"/>
    </xf>
    <xf numFmtId="0" fontId="31" fillId="0" borderId="0" xfId="0" applyFont="1" applyBorder="1"/>
    <xf numFmtId="0" fontId="28" fillId="0" borderId="0" xfId="0" applyFont="1" applyBorder="1"/>
    <xf numFmtId="170" fontId="30" fillId="3" borderId="0" xfId="3" applyNumberFormat="1" applyFont="1" applyFill="1" applyBorder="1" applyAlignment="1">
      <alignment horizontal="center" vertical="center"/>
    </xf>
    <xf numFmtId="169" fontId="30" fillId="3" borderId="0" xfId="1" applyNumberFormat="1" applyFont="1" applyFill="1" applyBorder="1" applyAlignment="1">
      <alignment horizontal="center" vertical="center"/>
    </xf>
    <xf numFmtId="1" fontId="30" fillId="0" borderId="0" xfId="1" applyNumberFormat="1" applyFont="1" applyFill="1" applyBorder="1" applyAlignment="1">
      <alignment horizontal="center" vertical="center"/>
    </xf>
    <xf numFmtId="168" fontId="30" fillId="0" borderId="0" xfId="16" applyNumberFormat="1" applyFont="1" applyFill="1" applyBorder="1" applyAlignment="1">
      <alignment horizontal="center" vertical="center"/>
    </xf>
    <xf numFmtId="9" fontId="27" fillId="0" borderId="43" xfId="16" applyFont="1" applyBorder="1" applyAlignment="1">
      <alignment horizontal="right" vertical="center" wrapText="1" indent="2" readingOrder="1"/>
    </xf>
    <xf numFmtId="0" fontId="26" fillId="0" borderId="0" xfId="0" applyFont="1" applyAlignment="1">
      <alignment horizontal="center"/>
    </xf>
    <xf numFmtId="167" fontId="11" fillId="0" borderId="0" xfId="1" applyNumberFormat="1" applyFont="1" applyBorder="1" applyAlignment="1">
      <alignment horizontal="right"/>
    </xf>
    <xf numFmtId="0" fontId="34" fillId="0" borderId="39" xfId="0" applyFont="1" applyBorder="1" applyAlignment="1">
      <alignment horizontal="center" vertical="center" wrapText="1" readingOrder="1"/>
    </xf>
    <xf numFmtId="9" fontId="34" fillId="0" borderId="43" xfId="0" applyNumberFormat="1" applyFont="1" applyBorder="1" applyAlignment="1">
      <alignment horizontal="center" vertical="center" wrapText="1" readingOrder="1"/>
    </xf>
    <xf numFmtId="0" fontId="34" fillId="0" borderId="46" xfId="0" applyFont="1" applyBorder="1" applyAlignment="1">
      <alignment horizontal="center" vertical="center" wrapText="1" readingOrder="1"/>
    </xf>
    <xf numFmtId="9" fontId="34" fillId="0" borderId="47" xfId="0" applyNumberFormat="1" applyFont="1" applyBorder="1" applyAlignment="1">
      <alignment horizontal="center" vertical="center" wrapText="1" readingOrder="1"/>
    </xf>
    <xf numFmtId="0" fontId="18" fillId="7" borderId="34" xfId="0" applyFont="1" applyFill="1" applyBorder="1" applyAlignment="1" applyProtection="1"/>
    <xf numFmtId="0" fontId="33" fillId="0" borderId="0" xfId="0" applyFont="1" applyProtection="1"/>
    <xf numFmtId="0" fontId="0" fillId="0" borderId="0" xfId="0" applyProtection="1"/>
    <xf numFmtId="0" fontId="16" fillId="0" borderId="0" xfId="0" applyFont="1" applyFill="1" applyBorder="1" applyAlignment="1" applyProtection="1">
      <alignment horizontal="center" vertical="center"/>
    </xf>
    <xf numFmtId="0" fontId="26" fillId="0" borderId="0" xfId="0" applyFont="1" applyAlignment="1">
      <alignment vertical="center"/>
    </xf>
    <xf numFmtId="9" fontId="27" fillId="0" borderId="43" xfId="16" applyNumberFormat="1" applyFont="1" applyBorder="1" applyAlignment="1">
      <alignment horizontal="right" vertical="center" wrapText="1" indent="2" readingOrder="1"/>
    </xf>
    <xf numFmtId="171" fontId="4" fillId="0" borderId="0" xfId="3" applyNumberFormat="1" applyFont="1" applyFill="1" applyBorder="1"/>
    <xf numFmtId="9" fontId="36" fillId="0" borderId="0" xfId="16" applyFont="1" applyBorder="1" applyAlignment="1" applyProtection="1">
      <alignment horizontal="right" vertical="center" wrapText="1" indent="2" readingOrder="1"/>
      <protection locked="0"/>
    </xf>
    <xf numFmtId="0" fontId="35" fillId="0" borderId="0" xfId="0" applyFont="1" applyAlignment="1">
      <alignment horizontal="centerContinuous"/>
    </xf>
    <xf numFmtId="0" fontId="37" fillId="0" borderId="43" xfId="16" applyNumberFormat="1" applyFont="1" applyBorder="1" applyAlignment="1" applyProtection="1">
      <alignment horizontal="right" vertical="center" wrapText="1" indent="2" readingOrder="1"/>
      <protection locked="0"/>
    </xf>
    <xf numFmtId="0" fontId="38" fillId="9" borderId="0" xfId="0" applyFont="1" applyFill="1" applyAlignment="1">
      <alignment horizontal="centerContinuous" vertical="center" wrapText="1" readingOrder="1"/>
    </xf>
    <xf numFmtId="0" fontId="18" fillId="0" borderId="0" xfId="0" applyFont="1" applyFill="1" applyBorder="1" applyAlignment="1" applyProtection="1"/>
    <xf numFmtId="0" fontId="39" fillId="0" borderId="0" xfId="0" applyFont="1" applyFill="1" applyBorder="1" applyAlignment="1" applyProtection="1"/>
    <xf numFmtId="0" fontId="40" fillId="0" borderId="0" xfId="0" applyFont="1" applyFill="1" applyBorder="1" applyProtection="1"/>
    <xf numFmtId="0" fontId="26" fillId="0" borderId="0" xfId="0" applyNumberFormat="1" applyFont="1" applyFill="1" applyBorder="1" applyAlignment="1" applyProtection="1"/>
    <xf numFmtId="0" fontId="26" fillId="0" borderId="0" xfId="0" applyFont="1" applyFill="1" applyBorder="1" applyProtection="1"/>
    <xf numFmtId="0" fontId="0" fillId="0" borderId="0" xfId="0" applyFont="1" applyProtection="1"/>
    <xf numFmtId="0" fontId="0" fillId="0" borderId="0" xfId="0" applyFont="1" applyBorder="1" applyProtection="1"/>
    <xf numFmtId="0" fontId="43" fillId="0" borderId="0" xfId="0" applyFont="1" applyFill="1" applyBorder="1" applyProtection="1"/>
    <xf numFmtId="0" fontId="44" fillId="0" borderId="0" xfId="0" applyFont="1" applyFill="1" applyBorder="1" applyAlignment="1" applyProtection="1">
      <alignment horizontal="left"/>
      <protection locked="0"/>
    </xf>
    <xf numFmtId="0" fontId="43" fillId="0" borderId="0" xfId="0" applyFont="1" applyBorder="1" applyProtection="1"/>
    <xf numFmtId="0" fontId="44" fillId="0" borderId="0" xfId="1" applyNumberFormat="1" applyFont="1" applyFill="1" applyBorder="1" applyAlignment="1" applyProtection="1">
      <alignment horizontal="right"/>
      <protection locked="0"/>
    </xf>
    <xf numFmtId="0" fontId="44" fillId="0" borderId="0" xfId="0" applyFont="1" applyBorder="1" applyProtection="1"/>
    <xf numFmtId="0" fontId="44" fillId="0" borderId="0" xfId="0" applyFont="1" applyFill="1" applyBorder="1" applyAlignment="1" applyProtection="1">
      <alignment horizontal="left"/>
    </xf>
    <xf numFmtId="0" fontId="44" fillId="0" borderId="0" xfId="0" applyFont="1" applyFill="1" applyBorder="1" applyAlignment="1" applyProtection="1">
      <alignment horizontal="right"/>
      <protection locked="0"/>
    </xf>
    <xf numFmtId="43" fontId="43" fillId="0" borderId="0" xfId="1" applyNumberFormat="1" applyFont="1" applyBorder="1" applyAlignment="1" applyProtection="1">
      <alignment vertical="center"/>
    </xf>
    <xf numFmtId="0" fontId="46" fillId="0" borderId="0" xfId="0" applyFont="1" applyBorder="1" applyAlignment="1" applyProtection="1">
      <alignment horizontal="left"/>
    </xf>
    <xf numFmtId="43" fontId="43" fillId="0" borderId="0" xfId="1" applyFont="1" applyBorder="1" applyAlignment="1" applyProtection="1">
      <alignment horizontal="right"/>
    </xf>
    <xf numFmtId="0" fontId="49" fillId="0" borderId="0" xfId="15" applyNumberFormat="1" applyFont="1" applyFill="1" applyBorder="1" applyAlignment="1" applyProtection="1">
      <alignment horizontal="left" vertical="center"/>
    </xf>
    <xf numFmtId="170" fontId="49" fillId="0" borderId="0" xfId="3" applyNumberFormat="1" applyFont="1" applyFill="1" applyBorder="1" applyAlignment="1" applyProtection="1">
      <alignment horizontal="right" vertical="center"/>
    </xf>
    <xf numFmtId="169" fontId="49" fillId="0" borderId="0" xfId="3" applyNumberFormat="1" applyFont="1" applyFill="1" applyBorder="1" applyAlignment="1" applyProtection="1">
      <alignment horizontal="right" vertical="center"/>
    </xf>
    <xf numFmtId="0" fontId="51" fillId="0" borderId="0" xfId="0" applyNumberFormat="1" applyFont="1" applyBorder="1" applyProtection="1"/>
    <xf numFmtId="41" fontId="51" fillId="0" borderId="0" xfId="1" applyNumberFormat="1" applyFont="1" applyBorder="1" applyAlignment="1" applyProtection="1">
      <alignment horizontal="right"/>
    </xf>
    <xf numFmtId="0" fontId="48" fillId="0" borderId="0" xfId="0" applyFont="1" applyBorder="1" applyProtection="1"/>
    <xf numFmtId="0" fontId="35" fillId="0" borderId="0" xfId="0" applyFont="1" applyProtection="1"/>
    <xf numFmtId="0" fontId="52" fillId="0" borderId="0" xfId="0" applyFont="1" applyBorder="1" applyProtection="1"/>
    <xf numFmtId="0" fontId="46" fillId="0" borderId="0" xfId="7" applyFont="1" applyBorder="1" applyProtection="1"/>
    <xf numFmtId="0" fontId="46" fillId="0" borderId="0" xfId="0" applyFont="1" applyBorder="1" applyProtection="1"/>
    <xf numFmtId="43" fontId="0" fillId="0" borderId="0" xfId="1" applyFont="1" applyBorder="1" applyAlignment="1" applyProtection="1">
      <alignment horizontal="right"/>
    </xf>
    <xf numFmtId="0" fontId="46" fillId="0" borderId="0" xfId="7" applyNumberFormat="1" applyFont="1" applyBorder="1" applyProtection="1"/>
    <xf numFmtId="0" fontId="53" fillId="0" borderId="0" xfId="0" applyFont="1" applyFill="1" applyBorder="1" applyAlignment="1" applyProtection="1">
      <alignment horizontal="left"/>
    </xf>
    <xf numFmtId="0" fontId="53" fillId="0" borderId="0" xfId="0" applyFont="1" applyFill="1" applyBorder="1" applyAlignment="1" applyProtection="1">
      <alignment horizontal="center"/>
    </xf>
    <xf numFmtId="0" fontId="43" fillId="0" borderId="0" xfId="0" applyFont="1" applyFill="1" applyBorder="1" applyAlignment="1" applyProtection="1">
      <alignment horizontal="center" vertical="center"/>
    </xf>
    <xf numFmtId="0" fontId="54" fillId="0" borderId="0" xfId="0" applyFont="1" applyBorder="1" applyProtection="1"/>
    <xf numFmtId="0" fontId="26" fillId="0" borderId="0" xfId="0" applyFont="1" applyFill="1" applyBorder="1" applyAlignment="1" applyProtection="1">
      <alignment wrapText="1"/>
    </xf>
    <xf numFmtId="0" fontId="43" fillId="0" borderId="0" xfId="0" applyFont="1" applyFill="1" applyBorder="1" applyAlignment="1" applyProtection="1">
      <alignment horizontal="center" vertical="center" wrapText="1"/>
    </xf>
    <xf numFmtId="0" fontId="53" fillId="0" borderId="0" xfId="0" applyFont="1" applyFill="1" applyAlignment="1" applyProtection="1">
      <alignment wrapText="1"/>
    </xf>
    <xf numFmtId="0" fontId="0" fillId="0" borderId="0" xfId="0" applyFont="1" applyFill="1" applyAlignment="1" applyProtection="1">
      <alignment wrapText="1"/>
    </xf>
    <xf numFmtId="0" fontId="55" fillId="10" borderId="0" xfId="0" applyNumberFormat="1" applyFont="1" applyFill="1" applyBorder="1" applyAlignment="1" applyProtection="1">
      <alignment horizontal="left"/>
    </xf>
    <xf numFmtId="0" fontId="55" fillId="0" borderId="0" xfId="0" applyNumberFormat="1" applyFont="1" applyFill="1" applyBorder="1" applyAlignment="1" applyProtection="1">
      <alignment horizontal="left"/>
    </xf>
    <xf numFmtId="0" fontId="56" fillId="0" borderId="0" xfId="7" applyFont="1" applyBorder="1" applyProtection="1"/>
    <xf numFmtId="0" fontId="57" fillId="0" borderId="0" xfId="0" applyFont="1" applyBorder="1" applyProtection="1"/>
    <xf numFmtId="0" fontId="58" fillId="0" borderId="0" xfId="0" applyFont="1" applyBorder="1" applyProtection="1"/>
    <xf numFmtId="0" fontId="0" fillId="0" borderId="0" xfId="0" applyFont="1" applyBorder="1" applyAlignment="1" applyProtection="1">
      <alignment wrapText="1"/>
    </xf>
    <xf numFmtId="0" fontId="50" fillId="9" borderId="0" xfId="7" applyFont="1" applyFill="1" applyBorder="1" applyAlignment="1" applyProtection="1">
      <alignment horizontal="left" wrapText="1"/>
    </xf>
    <xf numFmtId="0" fontId="50" fillId="9" borderId="0" xfId="7" applyFont="1" applyFill="1" applyBorder="1" applyAlignment="1" applyProtection="1">
      <alignment horizontal="right" wrapText="1"/>
    </xf>
    <xf numFmtId="0" fontId="0" fillId="0" borderId="0" xfId="0" applyFont="1" applyAlignment="1">
      <alignment horizontal="left" wrapText="1"/>
    </xf>
    <xf numFmtId="0" fontId="35" fillId="0" borderId="0" xfId="0" applyFont="1" applyAlignment="1">
      <alignment horizontal="left" wrapText="1"/>
    </xf>
    <xf numFmtId="0" fontId="65" fillId="0" borderId="48" xfId="0" applyFont="1" applyBorder="1" applyAlignment="1">
      <alignment horizontal="left" wrapText="1"/>
    </xf>
    <xf numFmtId="0" fontId="41" fillId="0" borderId="0" xfId="0" applyFont="1" applyFill="1" applyBorder="1"/>
    <xf numFmtId="0" fontId="41" fillId="0" borderId="0" xfId="0" applyFont="1" applyBorder="1" applyAlignment="1">
      <alignment horizontal="center" vertical="center" wrapText="1"/>
    </xf>
    <xf numFmtId="0" fontId="41" fillId="0" borderId="0" xfId="0" applyFont="1" applyAlignment="1">
      <alignment horizontal="center" vertical="center"/>
    </xf>
    <xf numFmtId="0" fontId="26" fillId="0" borderId="0" xfId="0" applyFont="1" applyFill="1" applyBorder="1" applyAlignment="1">
      <alignment horizontal="center" vertical="center"/>
    </xf>
    <xf numFmtId="0" fontId="26" fillId="0" borderId="0" xfId="0" applyFont="1" applyBorder="1"/>
    <xf numFmtId="167" fontId="26" fillId="0" borderId="0" xfId="0" applyNumberFormat="1" applyFont="1" applyBorder="1"/>
    <xf numFmtId="43" fontId="26" fillId="0" borderId="0" xfId="1" applyNumberFormat="1" applyFont="1" applyBorder="1"/>
    <xf numFmtId="167" fontId="26" fillId="0" borderId="0" xfId="1" applyNumberFormat="1" applyFont="1" applyBorder="1"/>
    <xf numFmtId="167" fontId="43" fillId="0" borderId="0" xfId="1" applyNumberFormat="1" applyFont="1" applyBorder="1"/>
    <xf numFmtId="0" fontId="26" fillId="0" borderId="0" xfId="0" applyFont="1" applyFill="1" applyBorder="1"/>
    <xf numFmtId="0" fontId="26" fillId="0" borderId="0" xfId="0" applyFont="1" applyBorder="1" applyAlignment="1">
      <alignment wrapText="1"/>
    </xf>
    <xf numFmtId="0" fontId="66" fillId="0" borderId="0" xfId="0" applyFont="1" applyBorder="1"/>
    <xf numFmtId="0" fontId="66" fillId="0" borderId="0" xfId="0" applyFont="1" applyFill="1" applyBorder="1"/>
    <xf numFmtId="0" fontId="67" fillId="9" borderId="34" xfId="0" applyFont="1" applyFill="1" applyBorder="1" applyAlignment="1"/>
    <xf numFmtId="0" fontId="50" fillId="9" borderId="34" xfId="0" applyFont="1" applyFill="1" applyBorder="1" applyAlignment="1"/>
    <xf numFmtId="167" fontId="50" fillId="9" borderId="34" xfId="3" applyNumberFormat="1" applyFont="1" applyFill="1" applyBorder="1" applyAlignment="1"/>
    <xf numFmtId="43" fontId="50" fillId="9" borderId="34" xfId="3" applyNumberFormat="1" applyFont="1" applyFill="1" applyBorder="1" applyAlignment="1"/>
    <xf numFmtId="0" fontId="42" fillId="0" borderId="34" xfId="0" applyFont="1" applyFill="1" applyBorder="1" applyAlignment="1"/>
    <xf numFmtId="168" fontId="50" fillId="0" borderId="34" xfId="16" applyNumberFormat="1" applyFont="1" applyFill="1" applyBorder="1" applyAlignment="1"/>
    <xf numFmtId="0" fontId="68" fillId="0" borderId="34" xfId="0" applyFont="1" applyFill="1" applyBorder="1" applyAlignment="1"/>
    <xf numFmtId="0" fontId="67" fillId="0" borderId="0" xfId="0" applyFont="1" applyFill="1"/>
    <xf numFmtId="0" fontId="41" fillId="0" borderId="0" xfId="0" applyNumberFormat="1" applyFont="1" applyFill="1" applyBorder="1" applyAlignment="1" applyProtection="1">
      <alignment horizontal="center"/>
    </xf>
    <xf numFmtId="0" fontId="42" fillId="0" borderId="0" xfId="7" applyFont="1" applyFill="1" applyBorder="1" applyAlignment="1" applyProtection="1">
      <alignment horizontal="left" wrapText="1"/>
    </xf>
    <xf numFmtId="0" fontId="32" fillId="7" borderId="34" xfId="0" applyFont="1" applyFill="1" applyBorder="1" applyAlignment="1" applyProtection="1">
      <alignment horizontal="left"/>
    </xf>
    <xf numFmtId="0" fontId="18" fillId="7" borderId="34" xfId="0" applyFont="1" applyFill="1" applyBorder="1" applyAlignment="1" applyProtection="1">
      <alignment horizontal="left"/>
    </xf>
    <xf numFmtId="0" fontId="63" fillId="0" borderId="0" xfId="0" applyFont="1" applyAlignment="1">
      <alignment horizontal="left" vertical="center" wrapText="1"/>
    </xf>
    <xf numFmtId="0" fontId="64" fillId="0" borderId="0" xfId="0" applyFont="1" applyAlignment="1">
      <alignment horizontal="left" vertical="center" wrapText="1"/>
    </xf>
    <xf numFmtId="0" fontId="63" fillId="7" borderId="0" xfId="0" applyFont="1" applyFill="1" applyAlignment="1">
      <alignment horizontal="left" vertical="center" wrapText="1"/>
    </xf>
    <xf numFmtId="0" fontId="64" fillId="7" borderId="0" xfId="0" applyFont="1" applyFill="1" applyAlignment="1">
      <alignment horizontal="left" vertical="center" wrapText="1"/>
    </xf>
    <xf numFmtId="0" fontId="69" fillId="10" borderId="0" xfId="0" applyFont="1" applyFill="1" applyBorder="1" applyAlignment="1" applyProtection="1">
      <alignment horizontal="center" vertical="center" wrapText="1"/>
    </xf>
    <xf numFmtId="0" fontId="70" fillId="10" borderId="0" xfId="0" applyFont="1" applyFill="1" applyAlignment="1" applyProtection="1">
      <alignment horizontal="center" vertical="center" wrapText="1"/>
    </xf>
    <xf numFmtId="0" fontId="70" fillId="10" borderId="0" xfId="0" applyFont="1" applyFill="1" applyBorder="1" applyAlignment="1" applyProtection="1">
      <alignment horizontal="center" vertical="center" wrapText="1"/>
    </xf>
    <xf numFmtId="0" fontId="71" fillId="10" borderId="0" xfId="0" applyFont="1" applyFill="1" applyAlignment="1" applyProtection="1">
      <alignment horizontal="center" vertical="center" wrapText="1"/>
    </xf>
    <xf numFmtId="9" fontId="44" fillId="0" borderId="0" xfId="16" applyFont="1" applyFill="1" applyBorder="1" applyAlignment="1" applyProtection="1">
      <alignment horizontal="left"/>
      <protection locked="0"/>
    </xf>
    <xf numFmtId="0" fontId="72" fillId="11" borderId="0" xfId="0" applyNumberFormat="1" applyFont="1" applyFill="1" applyBorder="1" applyProtection="1"/>
    <xf numFmtId="5" fontId="72" fillId="11" borderId="0" xfId="1" applyNumberFormat="1" applyFont="1" applyFill="1" applyBorder="1" applyAlignment="1" applyProtection="1">
      <alignment horizontal="right"/>
    </xf>
    <xf numFmtId="5" fontId="44" fillId="0" borderId="0" xfId="1" applyNumberFormat="1" applyFont="1" applyFill="1" applyBorder="1" applyAlignment="1" applyProtection="1">
      <alignment horizontal="right"/>
    </xf>
    <xf numFmtId="0" fontId="35" fillId="0" borderId="0" xfId="0" applyFont="1" applyAlignment="1" applyProtection="1"/>
    <xf numFmtId="0" fontId="32" fillId="7" borderId="34" xfId="0" applyFont="1" applyFill="1" applyBorder="1" applyAlignment="1" applyProtection="1">
      <alignment horizontal="left" vertical="center"/>
    </xf>
    <xf numFmtId="0" fontId="16" fillId="0" borderId="0" xfId="0" applyFont="1" applyBorder="1" applyAlignment="1" applyProtection="1">
      <alignment horizontal="center" vertical="center"/>
    </xf>
    <xf numFmtId="43" fontId="44" fillId="0" borderId="0" xfId="0" applyNumberFormat="1" applyFont="1" applyFill="1" applyBorder="1" applyAlignment="1" applyProtection="1">
      <alignment horizontal="right"/>
    </xf>
    <xf numFmtId="43" fontId="44" fillId="0" borderId="0" xfId="0" applyNumberFormat="1" applyFont="1" applyFill="1" applyBorder="1" applyAlignment="1" applyProtection="1">
      <alignment horizontal="left"/>
    </xf>
    <xf numFmtId="0" fontId="71" fillId="10" borderId="0" xfId="0" applyFont="1" applyFill="1" applyAlignment="1" applyProtection="1">
      <alignment horizontal="center" vertical="center" wrapText="1"/>
    </xf>
    <xf numFmtId="43" fontId="43" fillId="0" borderId="0" xfId="1" applyNumberFormat="1" applyFont="1" applyBorder="1" applyAlignment="1" applyProtection="1">
      <alignment horizontal="right" vertical="center"/>
    </xf>
    <xf numFmtId="0" fontId="4" fillId="0" borderId="0" xfId="6" applyFont="1" applyFill="1" applyBorder="1" applyProtection="1"/>
    <xf numFmtId="0" fontId="74" fillId="0" borderId="0" xfId="8" applyFont="1" applyFill="1" applyAlignment="1">
      <alignment horizontal="centerContinuous"/>
    </xf>
    <xf numFmtId="0" fontId="74" fillId="0" borderId="0" xfId="6" applyFont="1" applyFill="1" applyAlignment="1">
      <alignment horizontal="centerContinuous"/>
    </xf>
    <xf numFmtId="0" fontId="74" fillId="0" borderId="0" xfId="6" applyFont="1" applyFill="1"/>
    <xf numFmtId="0" fontId="75" fillId="0" borderId="0" xfId="6" applyFont="1"/>
    <xf numFmtId="0" fontId="4" fillId="0" borderId="0" xfId="6" applyFont="1" applyFill="1" applyBorder="1" applyAlignment="1" applyProtection="1">
      <alignment vertical="top"/>
    </xf>
    <xf numFmtId="0" fontId="75" fillId="0" borderId="0" xfId="6" applyFont="1" applyFill="1"/>
    <xf numFmtId="0" fontId="76" fillId="13" borderId="50" xfId="13" applyFont="1" applyFill="1" applyBorder="1"/>
    <xf numFmtId="0" fontId="77" fillId="13" borderId="50" xfId="13" applyFont="1" applyFill="1" applyBorder="1" applyAlignment="1">
      <alignment horizontal="centerContinuous"/>
    </xf>
    <xf numFmtId="0" fontId="76" fillId="13" borderId="51" xfId="13" applyFont="1" applyFill="1" applyBorder="1" applyAlignment="1">
      <alignment horizontal="centerContinuous"/>
    </xf>
    <xf numFmtId="0" fontId="76" fillId="13" borderId="52" xfId="13" applyFont="1" applyFill="1" applyBorder="1" applyAlignment="1">
      <alignment horizontal="centerContinuous"/>
    </xf>
    <xf numFmtId="0" fontId="76" fillId="13" borderId="53" xfId="12" applyFont="1" applyFill="1" applyBorder="1" applyAlignment="1">
      <alignment horizontal="center"/>
    </xf>
    <xf numFmtId="0" fontId="77" fillId="13" borderId="53" xfId="12" applyFont="1" applyFill="1" applyBorder="1" applyAlignment="1">
      <alignment horizontal="centerContinuous"/>
    </xf>
    <xf numFmtId="0" fontId="77" fillId="13" borderId="0" xfId="12" applyFont="1" applyFill="1" applyBorder="1" applyAlignment="1">
      <alignment horizontal="centerContinuous"/>
    </xf>
    <xf numFmtId="0" fontId="77" fillId="13" borderId="54" xfId="12" applyFont="1" applyFill="1" applyBorder="1" applyAlignment="1">
      <alignment horizontal="centerContinuous"/>
    </xf>
    <xf numFmtId="0" fontId="77" fillId="13" borderId="55" xfId="12" applyFont="1" applyFill="1" applyBorder="1" applyAlignment="1">
      <alignment horizontal="centerContinuous"/>
    </xf>
    <xf numFmtId="0" fontId="77" fillId="13" borderId="56" xfId="12" applyFont="1" applyFill="1" applyBorder="1" applyAlignment="1">
      <alignment horizontal="centerContinuous"/>
    </xf>
    <xf numFmtId="0" fontId="77" fillId="13" borderId="57" xfId="12" applyFont="1" applyFill="1" applyBorder="1" applyAlignment="1">
      <alignment horizontal="center"/>
    </xf>
    <xf numFmtId="0" fontId="77" fillId="13" borderId="53" xfId="12" applyFont="1" applyFill="1" applyBorder="1" applyAlignment="1">
      <alignment horizontal="center"/>
    </xf>
    <xf numFmtId="0" fontId="77" fillId="13" borderId="59" xfId="4" applyFont="1" applyFill="1" applyBorder="1" applyAlignment="1">
      <alignment horizontal="centerContinuous" vertical="center"/>
    </xf>
    <xf numFmtId="0" fontId="76" fillId="13" borderId="60" xfId="4" applyFont="1" applyFill="1" applyBorder="1" applyAlignment="1">
      <alignment horizontal="centerContinuous" vertical="center"/>
    </xf>
    <xf numFmtId="0" fontId="77" fillId="13" borderId="59" xfId="14" applyFont="1" applyFill="1" applyBorder="1" applyAlignment="1">
      <alignment horizontal="centerContinuous"/>
    </xf>
    <xf numFmtId="0" fontId="77" fillId="13" borderId="60" xfId="12" applyFont="1" applyFill="1" applyBorder="1" applyAlignment="1">
      <alignment horizontal="centerContinuous"/>
    </xf>
    <xf numFmtId="0" fontId="77" fillId="13" borderId="61" xfId="14" applyFont="1" applyFill="1" applyBorder="1" applyAlignment="1">
      <alignment horizontal="centerContinuous"/>
    </xf>
    <xf numFmtId="0" fontId="77" fillId="13" borderId="60" xfId="14" applyFont="1" applyFill="1" applyBorder="1" applyAlignment="1">
      <alignment horizontal="centerContinuous"/>
    </xf>
    <xf numFmtId="0" fontId="77" fillId="13" borderId="62" xfId="12" applyFont="1" applyFill="1" applyBorder="1" applyAlignment="1">
      <alignment horizontal="center"/>
    </xf>
    <xf numFmtId="0" fontId="77" fillId="13" borderId="50" xfId="12" applyFont="1" applyFill="1" applyBorder="1" applyAlignment="1">
      <alignment horizontal="centerContinuous"/>
    </xf>
    <xf numFmtId="0" fontId="77" fillId="13" borderId="51" xfId="12" applyFont="1" applyFill="1" applyBorder="1" applyAlignment="1">
      <alignment horizontal="centerContinuous"/>
    </xf>
    <xf numFmtId="0" fontId="77" fillId="13" borderId="65" xfId="12" applyFont="1" applyFill="1" applyBorder="1" applyAlignment="1">
      <alignment horizontal="centerContinuous"/>
    </xf>
    <xf numFmtId="0" fontId="77" fillId="13" borderId="66" xfId="12" applyFont="1" applyFill="1" applyBorder="1" applyAlignment="1">
      <alignment horizontal="centerContinuous"/>
    </xf>
    <xf numFmtId="0" fontId="77" fillId="13" borderId="53" xfId="14" applyFont="1" applyFill="1" applyBorder="1" applyAlignment="1">
      <alignment horizontal="centerContinuous"/>
    </xf>
    <xf numFmtId="0" fontId="77" fillId="13" borderId="58" xfId="12" applyFont="1" applyFill="1" applyBorder="1" applyAlignment="1">
      <alignment horizontal="centerContinuous"/>
    </xf>
    <xf numFmtId="0" fontId="77" fillId="13" borderId="53" xfId="14" applyFont="1" applyFill="1" applyBorder="1" applyAlignment="1"/>
    <xf numFmtId="0" fontId="77" fillId="13" borderId="6" xfId="14" applyFont="1" applyFill="1" applyBorder="1" applyAlignment="1">
      <alignment horizontal="centerContinuous"/>
    </xf>
    <xf numFmtId="0" fontId="77" fillId="13" borderId="58" xfId="14" applyFont="1" applyFill="1" applyBorder="1" applyAlignment="1">
      <alignment horizontal="centerContinuous"/>
    </xf>
    <xf numFmtId="0" fontId="77" fillId="13" borderId="54" xfId="12" applyFont="1" applyFill="1" applyBorder="1" applyAlignment="1">
      <alignment horizontal="center"/>
    </xf>
    <xf numFmtId="0" fontId="77" fillId="13" borderId="67" xfId="12" applyFont="1" applyFill="1" applyBorder="1" applyAlignment="1">
      <alignment horizontal="center"/>
    </xf>
    <xf numFmtId="0" fontId="77" fillId="13" borderId="55" xfId="12" applyFont="1" applyFill="1" applyBorder="1" applyAlignment="1">
      <alignment horizontal="center"/>
    </xf>
    <xf numFmtId="0" fontId="77" fillId="13" borderId="69" xfId="12" applyFont="1" applyFill="1" applyBorder="1" applyAlignment="1">
      <alignment horizontal="center"/>
    </xf>
    <xf numFmtId="0" fontId="77" fillId="13" borderId="70" xfId="12" applyFont="1" applyFill="1" applyBorder="1" applyAlignment="1">
      <alignment horizontal="center"/>
    </xf>
    <xf numFmtId="9" fontId="77" fillId="13" borderId="54" xfId="17" applyFont="1" applyFill="1" applyBorder="1" applyAlignment="1">
      <alignment horizontal="center"/>
    </xf>
    <xf numFmtId="9" fontId="77" fillId="13" borderId="56" xfId="12" applyNumberFormat="1" applyFont="1" applyFill="1" applyBorder="1" applyAlignment="1">
      <alignment horizontal="center"/>
    </xf>
    <xf numFmtId="0" fontId="77" fillId="13" borderId="54" xfId="14" applyFont="1" applyFill="1" applyBorder="1" applyAlignment="1">
      <alignment horizontal="center"/>
    </xf>
    <xf numFmtId="9" fontId="77" fillId="13" borderId="70" xfId="14" applyNumberFormat="1" applyFont="1" applyFill="1" applyBorder="1" applyAlignment="1">
      <alignment horizontal="center"/>
    </xf>
    <xf numFmtId="9" fontId="77" fillId="13" borderId="56" xfId="14" applyNumberFormat="1" applyFont="1" applyFill="1" applyBorder="1" applyAlignment="1">
      <alignment horizontal="center"/>
    </xf>
    <xf numFmtId="3" fontId="76" fillId="0" borderId="53" xfId="12" applyNumberFormat="1" applyFont="1" applyFill="1" applyBorder="1" applyAlignment="1">
      <alignment horizontal="center"/>
    </xf>
    <xf numFmtId="4" fontId="76" fillId="0" borderId="71" xfId="2" applyNumberFormat="1" applyFont="1" applyFill="1" applyBorder="1" applyAlignment="1">
      <alignment horizontal="center"/>
    </xf>
    <xf numFmtId="4" fontId="76" fillId="0" borderId="58" xfId="2" applyNumberFormat="1" applyFont="1" applyFill="1" applyBorder="1" applyAlignment="1">
      <alignment horizontal="center"/>
    </xf>
    <xf numFmtId="4" fontId="76" fillId="0" borderId="5" xfId="2" applyNumberFormat="1" applyFont="1" applyFill="1" applyBorder="1" applyAlignment="1">
      <alignment horizontal="center"/>
    </xf>
    <xf numFmtId="4" fontId="76" fillId="0" borderId="62" xfId="14" applyNumberFormat="1" applyFont="1" applyFill="1" applyBorder="1" applyAlignment="1">
      <alignment horizontal="center"/>
    </xf>
    <xf numFmtId="4" fontId="76" fillId="0" borderId="53" xfId="2" applyNumberFormat="1" applyFont="1" applyFill="1" applyBorder="1" applyAlignment="1">
      <alignment horizontal="center"/>
    </xf>
    <xf numFmtId="4" fontId="76" fillId="0" borderId="0" xfId="2" applyNumberFormat="1" applyFont="1" applyFill="1" applyBorder="1" applyAlignment="1">
      <alignment horizontal="center"/>
    </xf>
    <xf numFmtId="4" fontId="76" fillId="0" borderId="6" xfId="2" applyNumberFormat="1" applyFont="1" applyFill="1" applyBorder="1" applyAlignment="1">
      <alignment horizontal="center"/>
    </xf>
    <xf numFmtId="164" fontId="76" fillId="0" borderId="0" xfId="2" applyNumberFormat="1" applyFont="1" applyFill="1" applyBorder="1" applyAlignment="1">
      <alignment horizontal="center"/>
    </xf>
    <xf numFmtId="164" fontId="76" fillId="0" borderId="58" xfId="2" applyNumberFormat="1" applyFont="1" applyFill="1" applyBorder="1" applyAlignment="1">
      <alignment horizontal="center"/>
    </xf>
    <xf numFmtId="0" fontId="6" fillId="0" borderId="0" xfId="6" applyNumberFormat="1" applyFont="1" applyFill="1" applyBorder="1" applyProtection="1"/>
    <xf numFmtId="0" fontId="4" fillId="0" borderId="0" xfId="6" applyNumberFormat="1" applyFont="1" applyFill="1" applyBorder="1" applyProtection="1"/>
    <xf numFmtId="3" fontId="76" fillId="0" borderId="72" xfId="12" applyNumberFormat="1" applyFont="1" applyFill="1" applyBorder="1" applyAlignment="1">
      <alignment horizontal="center"/>
    </xf>
    <xf numFmtId="4" fontId="76" fillId="0" borderId="68" xfId="2" applyNumberFormat="1" applyFont="1" applyFill="1" applyBorder="1" applyAlignment="1">
      <alignment horizontal="center"/>
    </xf>
    <xf numFmtId="4" fontId="76" fillId="0" borderId="56" xfId="2" applyNumberFormat="1" applyFont="1" applyFill="1" applyBorder="1" applyAlignment="1">
      <alignment horizontal="center"/>
    </xf>
    <xf numFmtId="4" fontId="76" fillId="0" borderId="69" xfId="2" applyNumberFormat="1" applyFont="1" applyFill="1" applyBorder="1" applyAlignment="1">
      <alignment horizontal="center"/>
    </xf>
    <xf numFmtId="4" fontId="76" fillId="0" borderId="67" xfId="14" applyNumberFormat="1" applyFont="1" applyFill="1" applyBorder="1" applyAlignment="1">
      <alignment horizontal="center"/>
    </xf>
    <xf numFmtId="4" fontId="76" fillId="0" borderId="54" xfId="2" applyNumberFormat="1" applyFont="1" applyFill="1" applyBorder="1" applyAlignment="1">
      <alignment horizontal="center"/>
    </xf>
    <xf numFmtId="4" fontId="76" fillId="0" borderId="55" xfId="2" applyNumberFormat="1" applyFont="1" applyFill="1" applyBorder="1" applyAlignment="1">
      <alignment horizontal="center"/>
    </xf>
    <xf numFmtId="4" fontId="76" fillId="0" borderId="70" xfId="2" applyNumberFormat="1" applyFont="1" applyFill="1" applyBorder="1" applyAlignment="1">
      <alignment horizontal="center"/>
    </xf>
    <xf numFmtId="164" fontId="76" fillId="0" borderId="55" xfId="2" applyNumberFormat="1" applyFont="1" applyFill="1" applyBorder="1" applyAlignment="1">
      <alignment horizontal="center"/>
    </xf>
    <xf numFmtId="164" fontId="76" fillId="0" borderId="56" xfId="2" applyNumberFormat="1" applyFont="1" applyFill="1" applyBorder="1" applyAlignment="1">
      <alignment horizontal="center"/>
    </xf>
    <xf numFmtId="0" fontId="5" fillId="0" borderId="0" xfId="6" applyNumberFormat="1" applyFont="1" applyFill="1" applyBorder="1" applyProtection="1"/>
    <xf numFmtId="0" fontId="77" fillId="0" borderId="59" xfId="9" applyFont="1" applyFill="1" applyBorder="1" applyAlignment="1">
      <alignment horizontal="centerContinuous" vertical="center"/>
    </xf>
    <xf numFmtId="0" fontId="76" fillId="0" borderId="61" xfId="9" applyFont="1" applyFill="1" applyBorder="1" applyAlignment="1">
      <alignment horizontal="centerContinuous"/>
    </xf>
    <xf numFmtId="0" fontId="76" fillId="0" borderId="61" xfId="11" applyFont="1" applyFill="1" applyBorder="1" applyAlignment="1">
      <alignment horizontal="centerContinuous"/>
    </xf>
    <xf numFmtId="0" fontId="76" fillId="0" borderId="60" xfId="11" applyFont="1" applyFill="1" applyBorder="1" applyAlignment="1">
      <alignment horizontal="centerContinuous"/>
    </xf>
    <xf numFmtId="0" fontId="76" fillId="0" borderId="0" xfId="11" applyFont="1" applyFill="1" applyBorder="1"/>
    <xf numFmtId="0" fontId="76" fillId="0" borderId="0" xfId="4" applyFont="1" applyFill="1"/>
    <xf numFmtId="0" fontId="76" fillId="0" borderId="0" xfId="6" applyNumberFormat="1" applyFont="1" applyFill="1"/>
    <xf numFmtId="0" fontId="75" fillId="0" borderId="53" xfId="9" applyFont="1" applyFill="1" applyBorder="1" applyAlignment="1">
      <alignment horizontal="left"/>
    </xf>
    <xf numFmtId="0" fontId="75" fillId="0" borderId="0" xfId="9" applyFont="1" applyFill="1" applyBorder="1" applyAlignment="1">
      <alignment horizontal="right"/>
    </xf>
    <xf numFmtId="0" fontId="75" fillId="0" borderId="0" xfId="9" applyFont="1" applyFill="1" applyBorder="1" applyAlignment="1">
      <alignment horizontal="center"/>
    </xf>
    <xf numFmtId="0" fontId="75" fillId="0" borderId="0" xfId="12" applyFont="1" applyFill="1" applyBorder="1"/>
    <xf numFmtId="0" fontId="75" fillId="0" borderId="58" xfId="12" applyFont="1" applyFill="1" applyBorder="1"/>
    <xf numFmtId="0" fontId="75" fillId="0" borderId="0" xfId="12" applyFont="1" applyFill="1"/>
    <xf numFmtId="0" fontId="75" fillId="0" borderId="0" xfId="4" applyFont="1" applyFill="1"/>
    <xf numFmtId="0" fontId="75" fillId="0" borderId="0" xfId="6" applyNumberFormat="1" applyFont="1" applyFill="1"/>
    <xf numFmtId="0" fontId="76" fillId="0" borderId="73" xfId="9" applyFont="1" applyFill="1" applyBorder="1" applyAlignment="1">
      <alignment horizontal="centerContinuous"/>
    </xf>
    <xf numFmtId="0" fontId="76" fillId="0" borderId="74" xfId="9" applyFont="1" applyFill="1" applyBorder="1" applyAlignment="1">
      <alignment horizontal="centerContinuous"/>
    </xf>
    <xf numFmtId="0" fontId="76" fillId="0" borderId="75" xfId="9" applyFont="1" applyFill="1" applyBorder="1" applyAlignment="1">
      <alignment horizontal="centerContinuous"/>
    </xf>
    <xf numFmtId="0" fontId="76" fillId="0" borderId="0" xfId="9" applyFont="1" applyFill="1" applyBorder="1"/>
    <xf numFmtId="0" fontId="76" fillId="0" borderId="76" xfId="9" applyFont="1" applyFill="1" applyBorder="1" applyAlignment="1">
      <alignment horizontal="centerContinuous"/>
    </xf>
    <xf numFmtId="0" fontId="76" fillId="0" borderId="77" xfId="9" applyFont="1" applyFill="1" applyBorder="1" applyAlignment="1">
      <alignment horizontal="centerContinuous"/>
    </xf>
    <xf numFmtId="0" fontId="76" fillId="0" borderId="58" xfId="6" applyNumberFormat="1" applyFont="1" applyFill="1" applyBorder="1"/>
    <xf numFmtId="0" fontId="76" fillId="0" borderId="0" xfId="12" applyFont="1" applyFill="1"/>
    <xf numFmtId="0" fontId="76" fillId="0" borderId="57" xfId="10" applyFont="1" applyFill="1" applyBorder="1"/>
    <xf numFmtId="0" fontId="76" fillId="0" borderId="2" xfId="9" applyFont="1" applyFill="1" applyBorder="1"/>
    <xf numFmtId="2" fontId="76" fillId="0" borderId="1" xfId="9" applyNumberFormat="1" applyFont="1" applyFill="1" applyBorder="1" applyAlignment="1">
      <alignment horizontal="center"/>
    </xf>
    <xf numFmtId="0" fontId="76" fillId="0" borderId="0" xfId="9" quotePrefix="1" applyFont="1" applyFill="1" applyBorder="1"/>
    <xf numFmtId="0" fontId="76" fillId="0" borderId="3" xfId="9" applyFont="1" applyFill="1" applyBorder="1" applyAlignment="1">
      <alignment horizontal="center"/>
    </xf>
    <xf numFmtId="0" fontId="76" fillId="0" borderId="2" xfId="9" quotePrefix="1" applyFont="1" applyFill="1" applyBorder="1" applyAlignment="1">
      <alignment horizontal="center"/>
    </xf>
    <xf numFmtId="0" fontId="76" fillId="0" borderId="53" xfId="10" applyFont="1" applyFill="1" applyBorder="1"/>
    <xf numFmtId="2" fontId="76" fillId="0" borderId="5" xfId="9" applyNumberFormat="1" applyFont="1" applyFill="1" applyBorder="1" applyAlignment="1">
      <alignment horizontal="center"/>
    </xf>
    <xf numFmtId="0" fontId="76" fillId="0" borderId="6" xfId="9" applyFont="1" applyFill="1" applyBorder="1" applyAlignment="1">
      <alignment horizontal="center"/>
    </xf>
    <xf numFmtId="0" fontId="76" fillId="0" borderId="0" xfId="9" applyFont="1" applyFill="1" applyBorder="1" applyAlignment="1">
      <alignment horizontal="center"/>
    </xf>
    <xf numFmtId="0" fontId="76" fillId="0" borderId="78" xfId="10" applyFont="1" applyFill="1" applyBorder="1"/>
    <xf numFmtId="0" fontId="76" fillId="0" borderId="8" xfId="9" applyFont="1" applyFill="1" applyBorder="1"/>
    <xf numFmtId="2" fontId="76" fillId="0" borderId="4" xfId="9" applyNumberFormat="1" applyFont="1" applyFill="1" applyBorder="1" applyAlignment="1">
      <alignment horizontal="center"/>
    </xf>
    <xf numFmtId="0" fontId="76" fillId="0" borderId="57" xfId="12" applyFont="1" applyFill="1" applyBorder="1"/>
    <xf numFmtId="0" fontId="76" fillId="0" borderId="2" xfId="12" applyFont="1" applyFill="1" applyBorder="1"/>
    <xf numFmtId="2" fontId="76" fillId="0" borderId="2" xfId="12" applyNumberFormat="1" applyFont="1" applyFill="1" applyBorder="1" applyAlignment="1">
      <alignment horizontal="center"/>
    </xf>
    <xf numFmtId="0" fontId="76" fillId="0" borderId="7" xfId="9" applyFont="1" applyFill="1" applyBorder="1" applyAlignment="1">
      <alignment horizontal="center"/>
    </xf>
    <xf numFmtId="0" fontId="76" fillId="0" borderId="8" xfId="9" applyFont="1" applyFill="1" applyBorder="1" applyAlignment="1">
      <alignment horizontal="center"/>
    </xf>
    <xf numFmtId="0" fontId="76" fillId="0" borderId="73" xfId="14" applyFont="1" applyFill="1" applyBorder="1" applyAlignment="1" applyProtection="1">
      <alignment horizontal="centerContinuous"/>
      <protection locked="0"/>
    </xf>
    <xf numFmtId="0" fontId="76" fillId="0" borderId="74" xfId="14" applyFont="1" applyFill="1" applyBorder="1" applyAlignment="1" applyProtection="1">
      <alignment horizontal="centerContinuous"/>
      <protection locked="0"/>
    </xf>
    <xf numFmtId="2" fontId="76" fillId="0" borderId="75" xfId="11" applyNumberFormat="1" applyFont="1" applyFill="1" applyBorder="1" applyAlignment="1">
      <alignment horizontal="centerContinuous"/>
    </xf>
    <xf numFmtId="0" fontId="76" fillId="0" borderId="58" xfId="11" applyFont="1" applyFill="1" applyBorder="1"/>
    <xf numFmtId="0" fontId="76" fillId="0" borderId="53" xfId="14" applyFont="1" applyFill="1" applyBorder="1" applyProtection="1">
      <protection locked="0"/>
    </xf>
    <xf numFmtId="0" fontId="76" fillId="0" borderId="0" xfId="12" applyFont="1" applyFill="1" applyBorder="1"/>
    <xf numFmtId="165" fontId="76" fillId="0" borderId="5" xfId="14" applyNumberFormat="1" applyFont="1" applyFill="1" applyBorder="1" applyAlignment="1" applyProtection="1">
      <alignment horizontal="center"/>
      <protection locked="0"/>
    </xf>
    <xf numFmtId="9" fontId="76" fillId="0" borderId="0" xfId="6" applyNumberFormat="1" applyFont="1" applyFill="1"/>
    <xf numFmtId="2" fontId="76" fillId="0" borderId="54" xfId="14" applyNumberFormat="1" applyFont="1" applyFill="1" applyBorder="1" applyProtection="1">
      <protection locked="0"/>
    </xf>
    <xf numFmtId="0" fontId="76" fillId="0" borderId="55" xfId="12" applyFont="1" applyFill="1" applyBorder="1"/>
    <xf numFmtId="165" fontId="76" fillId="0" borderId="69" xfId="14" applyNumberFormat="1" applyFont="1" applyFill="1" applyBorder="1" applyAlignment="1" applyProtection="1">
      <alignment horizontal="center"/>
      <protection locked="0"/>
    </xf>
    <xf numFmtId="0" fontId="76" fillId="0" borderId="55" xfId="9" applyFont="1" applyFill="1" applyBorder="1"/>
    <xf numFmtId="0" fontId="76" fillId="0" borderId="55" xfId="11" applyFont="1" applyFill="1" applyBorder="1"/>
    <xf numFmtId="0" fontId="76" fillId="0" borderId="56" xfId="11" applyFont="1" applyFill="1" applyBorder="1"/>
    <xf numFmtId="172" fontId="76" fillId="0" borderId="69" xfId="14" applyNumberFormat="1" applyFont="1" applyFill="1" applyBorder="1" applyAlignment="1" applyProtection="1">
      <alignment horizontal="center"/>
      <protection locked="0"/>
    </xf>
    <xf numFmtId="0" fontId="77" fillId="0" borderId="79" xfId="9" applyFont="1" applyFill="1" applyBorder="1" applyAlignment="1">
      <alignment horizontal="centerContinuous" vertical="center"/>
    </xf>
    <xf numFmtId="0" fontId="76" fillId="0" borderId="80" xfId="11" applyFont="1" applyFill="1" applyBorder="1" applyAlignment="1">
      <alignment horizontal="centerContinuous"/>
    </xf>
    <xf numFmtId="0" fontId="76" fillId="0" borderId="80" xfId="9" applyFont="1" applyFill="1" applyBorder="1" applyAlignment="1">
      <alignment horizontal="centerContinuous"/>
    </xf>
    <xf numFmtId="0" fontId="76" fillId="0" borderId="81" xfId="9" applyFont="1" applyFill="1" applyBorder="1" applyAlignment="1">
      <alignment horizontal="centerContinuous"/>
    </xf>
    <xf numFmtId="0" fontId="75" fillId="0" borderId="53" xfId="9" applyFont="1" applyFill="1" applyBorder="1" applyAlignment="1">
      <alignment horizontal="centerContinuous" vertical="center"/>
    </xf>
    <xf numFmtId="0" fontId="75" fillId="0" borderId="0" xfId="11" applyFont="1" applyFill="1" applyBorder="1" applyAlignment="1">
      <alignment horizontal="centerContinuous"/>
    </xf>
    <xf numFmtId="0" fontId="75" fillId="0" borderId="0" xfId="9" applyFont="1" applyFill="1" applyBorder="1" applyAlignment="1">
      <alignment horizontal="centerContinuous"/>
    </xf>
    <xf numFmtId="0" fontId="75" fillId="0" borderId="58" xfId="9" applyFont="1" applyFill="1" applyBorder="1" applyAlignment="1">
      <alignment horizontal="centerContinuous"/>
    </xf>
    <xf numFmtId="9" fontId="75" fillId="0" borderId="0" xfId="6" applyNumberFormat="1" applyFont="1" applyFill="1"/>
    <xf numFmtId="0" fontId="75" fillId="0" borderId="57" xfId="9" applyFont="1" applyFill="1" applyBorder="1" applyAlignment="1">
      <alignment horizontal="centerContinuous" vertical="center"/>
    </xf>
    <xf numFmtId="0" fontId="75" fillId="0" borderId="2" xfId="11" applyFont="1" applyFill="1" applyBorder="1" applyAlignment="1">
      <alignment horizontal="centerContinuous"/>
    </xf>
    <xf numFmtId="0" fontId="75" fillId="0" borderId="2" xfId="9" applyFont="1" applyFill="1" applyBorder="1" applyAlignment="1">
      <alignment horizontal="centerContinuous"/>
    </xf>
    <xf numFmtId="0" fontId="75" fillId="0" borderId="82" xfId="9" applyFont="1" applyFill="1" applyBorder="1" applyAlignment="1">
      <alignment horizontal="centerContinuous"/>
    </xf>
    <xf numFmtId="0" fontId="76" fillId="0" borderId="73" xfId="14" applyFont="1" applyFill="1" applyBorder="1" applyAlignment="1">
      <alignment horizontal="centerContinuous" vertical="center" wrapText="1"/>
    </xf>
    <xf numFmtId="0" fontId="77" fillId="0" borderId="75" xfId="14" applyFont="1" applyFill="1" applyBorder="1" applyAlignment="1">
      <alignment horizontal="centerContinuous" vertical="center"/>
    </xf>
    <xf numFmtId="0" fontId="76" fillId="0" borderId="0" xfId="6" applyNumberFormat="1" applyFont="1" applyFill="1" applyBorder="1"/>
    <xf numFmtId="0" fontId="76" fillId="0" borderId="76" xfId="14" applyFont="1" applyFill="1" applyBorder="1" applyAlignment="1">
      <alignment horizontal="centerContinuous" vertical="center" wrapText="1"/>
    </xf>
    <xf numFmtId="0" fontId="76" fillId="0" borderId="75" xfId="11" applyFont="1" applyFill="1" applyBorder="1" applyAlignment="1">
      <alignment horizontal="centerContinuous" vertical="center"/>
    </xf>
    <xf numFmtId="0" fontId="76" fillId="0" borderId="76" xfId="14" applyFont="1" applyFill="1" applyBorder="1" applyAlignment="1" applyProtection="1">
      <alignment horizontal="centerContinuous" vertical="center" wrapText="1"/>
      <protection locked="0"/>
    </xf>
    <xf numFmtId="0" fontId="76" fillId="0" borderId="83" xfId="14" applyFont="1" applyFill="1" applyBorder="1" applyAlignment="1" applyProtection="1">
      <alignment horizontal="centerContinuous" vertical="center"/>
      <protection locked="0"/>
    </xf>
    <xf numFmtId="0" fontId="76" fillId="0" borderId="0" xfId="14" applyFont="1" applyFill="1" applyBorder="1" applyAlignment="1">
      <alignment horizontal="centerContinuous"/>
    </xf>
    <xf numFmtId="0" fontId="76" fillId="0" borderId="53" xfId="14" applyFont="1" applyFill="1" applyBorder="1" applyAlignment="1">
      <alignment horizontal="center"/>
    </xf>
    <xf numFmtId="0" fontId="76" fillId="0" borderId="6" xfId="14" applyFont="1" applyFill="1" applyBorder="1"/>
    <xf numFmtId="0" fontId="76" fillId="0" borderId="6" xfId="11" applyFont="1" applyFill="1" applyBorder="1" applyProtection="1">
      <protection locked="0"/>
    </xf>
    <xf numFmtId="0" fontId="76" fillId="0" borderId="58" xfId="11" applyFont="1" applyFill="1" applyBorder="1" applyProtection="1">
      <protection locked="0"/>
    </xf>
    <xf numFmtId="0" fontId="76" fillId="0" borderId="0" xfId="14" applyFont="1" applyFill="1" applyBorder="1"/>
    <xf numFmtId="2" fontId="76" fillId="0" borderId="5" xfId="14" applyNumberFormat="1" applyFont="1" applyFill="1" applyBorder="1" applyAlignment="1" applyProtection="1">
      <alignment horizontal="center"/>
      <protection locked="0"/>
    </xf>
    <xf numFmtId="0" fontId="76" fillId="0" borderId="6" xfId="14" applyFont="1" applyFill="1" applyBorder="1" applyProtection="1">
      <protection locked="0"/>
    </xf>
    <xf numFmtId="2" fontId="76" fillId="0" borderId="58" xfId="14" applyNumberFormat="1" applyFont="1" applyFill="1" applyBorder="1" applyAlignment="1" applyProtection="1">
      <alignment horizontal="center"/>
      <protection locked="0"/>
    </xf>
    <xf numFmtId="0" fontId="76" fillId="0" borderId="7" xfId="14" applyFont="1" applyFill="1" applyBorder="1" applyProtection="1">
      <protection locked="0"/>
    </xf>
    <xf numFmtId="2" fontId="76" fillId="0" borderId="84" xfId="14" applyNumberFormat="1" applyFont="1" applyFill="1" applyBorder="1" applyAlignment="1" applyProtection="1">
      <alignment horizontal="center"/>
      <protection locked="0"/>
    </xf>
    <xf numFmtId="0" fontId="76" fillId="0" borderId="78" xfId="14" applyFont="1" applyFill="1" applyBorder="1" applyAlignment="1">
      <alignment horizontal="center" vertical="center"/>
    </xf>
    <xf numFmtId="2" fontId="76" fillId="0" borderId="4" xfId="9" applyNumberFormat="1" applyFont="1" applyFill="1" applyBorder="1" applyAlignment="1">
      <alignment horizontal="center" vertical="center"/>
    </xf>
    <xf numFmtId="0" fontId="76" fillId="0" borderId="0" xfId="6" applyNumberFormat="1" applyFont="1" applyFill="1" applyBorder="1" applyAlignment="1">
      <alignment vertical="center"/>
    </xf>
    <xf numFmtId="0" fontId="76" fillId="0" borderId="7" xfId="14" applyFont="1" applyFill="1" applyBorder="1" applyAlignment="1">
      <alignment vertical="center"/>
    </xf>
    <xf numFmtId="2" fontId="76" fillId="0" borderId="4" xfId="14" applyNumberFormat="1" applyFont="1" applyFill="1" applyBorder="1" applyAlignment="1" applyProtection="1">
      <alignment horizontal="center" vertical="center"/>
      <protection locked="0"/>
    </xf>
    <xf numFmtId="0" fontId="76" fillId="0" borderId="3" xfId="6" applyNumberFormat="1" applyFont="1" applyFill="1" applyBorder="1" applyAlignment="1">
      <alignment wrapText="1"/>
    </xf>
    <xf numFmtId="2" fontId="76" fillId="0" borderId="82" xfId="14" applyNumberFormat="1" applyFont="1" applyFill="1" applyBorder="1" applyAlignment="1" applyProtection="1">
      <alignment horizontal="center"/>
      <protection locked="0"/>
    </xf>
    <xf numFmtId="0" fontId="76" fillId="0" borderId="8" xfId="6" applyNumberFormat="1" applyFont="1" applyFill="1" applyBorder="1" applyAlignment="1">
      <alignment wrapText="1"/>
    </xf>
    <xf numFmtId="2" fontId="76" fillId="0" borderId="0" xfId="9" applyNumberFormat="1" applyFont="1" applyFill="1" applyBorder="1" applyAlignment="1">
      <alignment horizontal="center"/>
    </xf>
    <xf numFmtId="2" fontId="76" fillId="0" borderId="0" xfId="14" applyNumberFormat="1" applyFont="1" applyFill="1" applyBorder="1" applyAlignment="1" applyProtection="1">
      <alignment horizontal="center"/>
      <protection locked="0"/>
    </xf>
    <xf numFmtId="0" fontId="76" fillId="0" borderId="7" xfId="6" applyNumberFormat="1" applyFont="1" applyFill="1" applyBorder="1" applyAlignment="1">
      <alignment wrapText="1"/>
    </xf>
    <xf numFmtId="0" fontId="76" fillId="0" borderId="54" xfId="14" applyFont="1" applyFill="1" applyBorder="1" applyAlignment="1">
      <alignment horizontal="center"/>
    </xf>
    <xf numFmtId="2" fontId="76" fillId="0" borderId="55" xfId="9" applyNumberFormat="1" applyFont="1" applyFill="1" applyBorder="1" applyAlignment="1">
      <alignment horizontal="center"/>
    </xf>
    <xf numFmtId="0" fontId="76" fillId="0" borderId="55" xfId="6" applyNumberFormat="1" applyFont="1" applyFill="1" applyBorder="1"/>
    <xf numFmtId="0" fontId="76" fillId="0" borderId="55" xfId="14" applyFont="1" applyFill="1" applyBorder="1"/>
    <xf numFmtId="0" fontId="76" fillId="0" borderId="85" xfId="6" applyNumberFormat="1" applyFont="1" applyFill="1" applyBorder="1"/>
    <xf numFmtId="2" fontId="76" fillId="0" borderId="56" xfId="6" applyNumberFormat="1" applyFont="1" applyFill="1" applyBorder="1" applyAlignment="1">
      <alignment horizontal="center"/>
    </xf>
    <xf numFmtId="0" fontId="76" fillId="0" borderId="70" xfId="6" applyNumberFormat="1" applyFont="1" applyFill="1" applyBorder="1" applyAlignment="1">
      <alignment wrapText="1"/>
    </xf>
    <xf numFmtId="2" fontId="76" fillId="0" borderId="56" xfId="14" applyNumberFormat="1" applyFont="1" applyFill="1" applyBorder="1" applyAlignment="1" applyProtection="1">
      <alignment horizontal="center"/>
      <protection locked="0"/>
    </xf>
    <xf numFmtId="0" fontId="76" fillId="0" borderId="0" xfId="6" applyFont="1" applyFill="1"/>
    <xf numFmtId="0" fontId="5" fillId="0" borderId="0" xfId="6" applyFont="1" applyFill="1" applyBorder="1" applyProtection="1"/>
    <xf numFmtId="4" fontId="5" fillId="0" borderId="10" xfId="2" applyNumberFormat="1" applyFont="1" applyFill="1" applyBorder="1" applyAlignment="1" applyProtection="1">
      <alignment horizontal="center"/>
    </xf>
    <xf numFmtId="166" fontId="44" fillId="0" borderId="0" xfId="0" applyNumberFormat="1" applyFont="1" applyFill="1" applyBorder="1" applyAlignment="1" applyProtection="1">
      <alignment horizontal="right"/>
    </xf>
    <xf numFmtId="14" fontId="0" fillId="0" borderId="0" xfId="0" applyNumberFormat="1"/>
    <xf numFmtId="0" fontId="0" fillId="0" borderId="0" xfId="0" applyFont="1"/>
    <xf numFmtId="0" fontId="56" fillId="0" borderId="0" xfId="7" applyFont="1" applyFill="1" applyBorder="1" applyProtection="1"/>
    <xf numFmtId="0" fontId="71" fillId="10" borderId="0" xfId="0" applyFont="1" applyFill="1" applyAlignment="1" applyProtection="1">
      <alignment horizontal="center" vertical="center" wrapText="1"/>
    </xf>
    <xf numFmtId="0" fontId="4" fillId="0" borderId="0" xfId="6" applyFont="1" applyFill="1"/>
    <xf numFmtId="0" fontId="5" fillId="0" borderId="0" xfId="6" applyNumberFormat="1" applyFont="1" applyFill="1"/>
    <xf numFmtId="172" fontId="5" fillId="0" borderId="0" xfId="14" applyNumberFormat="1" applyFont="1" applyFill="1" applyBorder="1" applyAlignment="1" applyProtection="1">
      <alignment horizontal="center"/>
      <protection locked="0"/>
    </xf>
    <xf numFmtId="0" fontId="4" fillId="0" borderId="0" xfId="6" applyFont="1" applyFill="1" applyBorder="1" applyAlignment="1">
      <alignment horizontal="left"/>
    </xf>
    <xf numFmtId="0" fontId="44" fillId="0" borderId="0" xfId="0" applyFont="1" applyFill="1" applyBorder="1" applyAlignment="1" applyProtection="1">
      <alignment horizontal="right"/>
    </xf>
    <xf numFmtId="0" fontId="71" fillId="10" borderId="0" xfId="0" applyFont="1" applyFill="1" applyAlignment="1" applyProtection="1">
      <alignment horizontal="center" vertical="center" wrapText="1"/>
    </xf>
    <xf numFmtId="167" fontId="4" fillId="0" borderId="0" xfId="6" applyNumberFormat="1" applyFont="1" applyFill="1" applyBorder="1"/>
    <xf numFmtId="0" fontId="61" fillId="0" borderId="0" xfId="0" applyFont="1" applyFill="1" applyBorder="1" applyAlignment="1" applyProtection="1">
      <alignment horizontal="left" vertical="center" indent="30"/>
    </xf>
    <xf numFmtId="0" fontId="62" fillId="0" borderId="0" xfId="0" applyFont="1" applyBorder="1" applyAlignment="1">
      <alignment horizontal="left" indent="30"/>
    </xf>
    <xf numFmtId="0" fontId="71" fillId="10" borderId="0" xfId="0" applyFont="1" applyFill="1" applyAlignment="1" applyProtection="1">
      <alignment horizontal="center" vertical="center" wrapText="1"/>
    </xf>
    <xf numFmtId="0" fontId="79" fillId="12" borderId="0" xfId="0" applyFont="1" applyFill="1" applyBorder="1" applyAlignment="1" applyProtection="1">
      <alignment horizontal="left"/>
    </xf>
    <xf numFmtId="0" fontId="35" fillId="0" borderId="0" xfId="0" applyFont="1"/>
    <xf numFmtId="0" fontId="50" fillId="9" borderId="0" xfId="7" applyFont="1" applyFill="1" applyBorder="1" applyAlignment="1" applyProtection="1">
      <alignment horizontal="center" wrapText="1"/>
    </xf>
    <xf numFmtId="0" fontId="50" fillId="12" borderId="0" xfId="0" applyNumberFormat="1" applyFont="1" applyFill="1" applyBorder="1" applyAlignment="1" applyProtection="1">
      <alignment horizontal="center"/>
    </xf>
    <xf numFmtId="0" fontId="71" fillId="10" borderId="0" xfId="0" applyFont="1" applyFill="1" applyAlignment="1" applyProtection="1">
      <alignment horizontal="center" vertical="center" wrapText="1"/>
    </xf>
    <xf numFmtId="0" fontId="32" fillId="7" borderId="86" xfId="0" applyFont="1" applyFill="1" applyBorder="1" applyAlignment="1" applyProtection="1">
      <alignment horizontal="center" vertical="center"/>
    </xf>
    <xf numFmtId="0" fontId="32" fillId="7" borderId="91" xfId="0" applyFont="1" applyFill="1" applyBorder="1" applyAlignment="1" applyProtection="1">
      <alignment horizontal="center" vertical="center"/>
    </xf>
    <xf numFmtId="0" fontId="61" fillId="0" borderId="0" xfId="0" applyFont="1" applyFill="1" applyBorder="1" applyAlignment="1" applyProtection="1">
      <alignment horizontal="left" vertical="center" indent="30"/>
    </xf>
    <xf numFmtId="0" fontId="62" fillId="0" borderId="0" xfId="0" applyFont="1" applyBorder="1" applyAlignment="1">
      <alignment horizontal="left" indent="30"/>
    </xf>
    <xf numFmtId="0" fontId="32" fillId="7" borderId="34" xfId="0" applyFont="1" applyFill="1" applyBorder="1" applyAlignment="1" applyProtection="1">
      <alignment horizontal="left"/>
    </xf>
    <xf numFmtId="0" fontId="18" fillId="7" borderId="34" xfId="0" applyFont="1" applyFill="1" applyBorder="1" applyAlignment="1" applyProtection="1">
      <alignment horizontal="left"/>
    </xf>
    <xf numFmtId="0" fontId="41" fillId="0" borderId="0" xfId="7" applyFont="1" applyFill="1" applyBorder="1" applyAlignment="1" applyProtection="1">
      <alignment horizontal="center"/>
    </xf>
    <xf numFmtId="0" fontId="41" fillId="0" borderId="0" xfId="0" applyNumberFormat="1" applyFont="1" applyFill="1" applyBorder="1" applyAlignment="1" applyProtection="1">
      <alignment horizontal="center"/>
    </xf>
    <xf numFmtId="0" fontId="0" fillId="0" borderId="0" xfId="0" applyAlignment="1">
      <alignment horizontal="center" vertical="center" wrapText="1"/>
    </xf>
    <xf numFmtId="43" fontId="43" fillId="0" borderId="49" xfId="1" applyNumberFormat="1" applyFont="1" applyBorder="1" applyAlignment="1" applyProtection="1">
      <alignment horizontal="right" vertical="center"/>
    </xf>
    <xf numFmtId="43" fontId="43" fillId="0" borderId="0" xfId="1" applyNumberFormat="1" applyFont="1" applyBorder="1" applyAlignment="1" applyProtection="1">
      <alignment horizontal="right" vertical="center"/>
    </xf>
    <xf numFmtId="0" fontId="71" fillId="10" borderId="0" xfId="0" applyFont="1" applyFill="1" applyBorder="1" applyAlignment="1" applyProtection="1">
      <alignment horizontal="center" vertical="center" wrapText="1"/>
    </xf>
    <xf numFmtId="0" fontId="50" fillId="9" borderId="3" xfId="7" applyFont="1" applyFill="1" applyBorder="1" applyAlignment="1" applyProtection="1">
      <alignment horizontal="center" wrapText="1"/>
    </xf>
    <xf numFmtId="0" fontId="50" fillId="9" borderId="2" xfId="7" applyFont="1" applyFill="1" applyBorder="1" applyAlignment="1" applyProtection="1">
      <alignment horizontal="center" wrapText="1"/>
    </xf>
    <xf numFmtId="0" fontId="50" fillId="9" borderId="1" xfId="7" applyFont="1" applyFill="1" applyBorder="1" applyAlignment="1" applyProtection="1">
      <alignment horizontal="center" wrapText="1"/>
    </xf>
    <xf numFmtId="0" fontId="46" fillId="0" borderId="89" xfId="0" applyFont="1" applyBorder="1" applyAlignment="1" applyProtection="1">
      <alignment horizontal="center" vertical="center" wrapText="1"/>
    </xf>
    <xf numFmtId="0" fontId="46" fillId="0" borderId="0" xfId="0" applyFont="1" applyBorder="1" applyAlignment="1" applyProtection="1">
      <alignment horizontal="center" vertical="center"/>
    </xf>
    <xf numFmtId="0" fontId="46" fillId="0" borderId="5" xfId="0" applyFont="1" applyBorder="1" applyAlignment="1" applyProtection="1">
      <alignment horizontal="center" vertical="center"/>
    </xf>
    <xf numFmtId="0" fontId="46" fillId="0" borderId="90" xfId="0" applyFont="1" applyBorder="1" applyAlignment="1" applyProtection="1">
      <alignment horizontal="center" vertical="center"/>
    </xf>
    <xf numFmtId="0" fontId="46" fillId="0" borderId="8" xfId="0" applyFont="1" applyBorder="1" applyAlignment="1" applyProtection="1">
      <alignment horizontal="center" vertical="center"/>
    </xf>
    <xf numFmtId="0" fontId="46" fillId="0" borderId="4" xfId="0" applyFont="1" applyBorder="1" applyAlignment="1" applyProtection="1">
      <alignment horizontal="center" vertical="center"/>
    </xf>
    <xf numFmtId="173" fontId="78" fillId="0" borderId="87" xfId="3" applyNumberFormat="1" applyFont="1" applyBorder="1" applyAlignment="1" applyProtection="1">
      <alignment horizontal="center"/>
      <protection locked="0"/>
    </xf>
    <xf numFmtId="173" fontId="78" fillId="0" borderId="88" xfId="3" applyNumberFormat="1" applyFont="1" applyBorder="1" applyAlignment="1" applyProtection="1">
      <alignment horizontal="center"/>
      <protection locked="0"/>
    </xf>
    <xf numFmtId="0" fontId="59" fillId="0" borderId="0" xfId="0" applyFont="1" applyAlignment="1">
      <alignment horizontal="center"/>
    </xf>
    <xf numFmtId="0" fontId="60" fillId="0" borderId="0" xfId="0" applyFont="1" applyAlignment="1"/>
    <xf numFmtId="0" fontId="5" fillId="0" borderId="2" xfId="6" applyFont="1" applyFill="1" applyBorder="1" applyAlignment="1">
      <alignment horizontal="left" vertical="top" wrapText="1"/>
    </xf>
    <xf numFmtId="0" fontId="14" fillId="6" borderId="0" xfId="6" applyFont="1" applyFill="1" applyBorder="1" applyAlignment="1">
      <alignment horizontal="center"/>
    </xf>
    <xf numFmtId="0" fontId="4" fillId="0" borderId="8" xfId="6" applyFont="1" applyFill="1" applyBorder="1" applyAlignment="1">
      <alignment horizontal="left" vertical="top" wrapText="1"/>
    </xf>
    <xf numFmtId="0" fontId="5" fillId="0" borderId="8" xfId="6" applyFont="1" applyFill="1" applyBorder="1" applyAlignment="1">
      <alignment horizontal="left" vertical="top" wrapText="1"/>
    </xf>
    <xf numFmtId="0" fontId="14" fillId="6" borderId="0" xfId="14" applyFont="1" applyFill="1" applyBorder="1" applyAlignment="1" applyProtection="1">
      <alignment horizontal="center" vertical="center" wrapText="1"/>
      <protection locked="0"/>
    </xf>
    <xf numFmtId="0" fontId="14" fillId="6" borderId="0" xfId="14" applyFont="1" applyFill="1" applyBorder="1" applyAlignment="1">
      <alignment horizontal="center" vertical="center" wrapText="1"/>
    </xf>
    <xf numFmtId="0" fontId="14" fillId="6" borderId="0" xfId="9" applyFont="1" applyFill="1" applyBorder="1" applyAlignment="1">
      <alignment horizontal="center"/>
    </xf>
    <xf numFmtId="0" fontId="5" fillId="5" borderId="0" xfId="4" applyFont="1" applyFill="1" applyBorder="1" applyAlignment="1">
      <alignment horizontal="center" vertical="center"/>
    </xf>
    <xf numFmtId="0" fontId="14" fillId="6" borderId="0" xfId="14" applyFont="1" applyFill="1" applyBorder="1" applyAlignment="1" applyProtection="1">
      <alignment horizontal="center"/>
      <protection locked="0"/>
    </xf>
    <xf numFmtId="0" fontId="5" fillId="5" borderId="2" xfId="12" applyFont="1" applyFill="1" applyBorder="1" applyAlignment="1">
      <alignment horizontal="center"/>
    </xf>
    <xf numFmtId="0" fontId="5" fillId="5" borderId="1" xfId="12" applyFont="1" applyFill="1" applyBorder="1" applyAlignment="1">
      <alignment horizontal="center"/>
    </xf>
    <xf numFmtId="0" fontId="5" fillId="0" borderId="0" xfId="14" applyFont="1" applyFill="1" applyBorder="1" applyAlignment="1">
      <alignment horizontal="center"/>
    </xf>
    <xf numFmtId="0" fontId="5" fillId="0" borderId="0" xfId="12" applyFont="1" applyFill="1" applyBorder="1" applyAlignment="1">
      <alignment horizontal="center" vertical="top" wrapText="1"/>
    </xf>
    <xf numFmtId="0" fontId="4" fillId="0" borderId="0" xfId="13" applyFont="1" applyFill="1" applyBorder="1" applyAlignment="1">
      <alignment horizontal="center" vertical="center" wrapText="1"/>
    </xf>
    <xf numFmtId="0" fontId="7" fillId="0" borderId="0" xfId="8" applyFont="1" applyFill="1" applyBorder="1" applyAlignment="1">
      <alignment horizontal="left"/>
    </xf>
    <xf numFmtId="0" fontId="4" fillId="0" borderId="0" xfId="12" applyFont="1" applyFill="1" applyBorder="1" applyAlignment="1">
      <alignment horizontal="center" vertical="center" wrapText="1"/>
    </xf>
    <xf numFmtId="0" fontId="5" fillId="0" borderId="0" xfId="12" applyFont="1" applyFill="1" applyBorder="1" applyAlignment="1">
      <alignment horizontal="center" vertical="center" wrapText="1"/>
    </xf>
    <xf numFmtId="0" fontId="5" fillId="0" borderId="0" xfId="12" applyFont="1" applyFill="1" applyBorder="1" applyAlignment="1">
      <alignment horizontal="center" vertical="center"/>
    </xf>
    <xf numFmtId="0" fontId="5" fillId="0" borderId="0" xfId="12" applyFont="1" applyFill="1" applyBorder="1" applyAlignment="1">
      <alignment horizontal="center" vertical="top"/>
    </xf>
    <xf numFmtId="0" fontId="5" fillId="5" borderId="3" xfId="12" applyFont="1" applyFill="1" applyBorder="1" applyAlignment="1">
      <alignment horizontal="center"/>
    </xf>
    <xf numFmtId="0" fontId="77" fillId="13" borderId="50" xfId="12" applyFont="1" applyFill="1" applyBorder="1" applyAlignment="1">
      <alignment horizontal="center" vertical="center"/>
    </xf>
    <xf numFmtId="0" fontId="77" fillId="13" borderId="51" xfId="12" applyFont="1" applyFill="1" applyBorder="1" applyAlignment="1">
      <alignment horizontal="center" vertical="center"/>
    </xf>
    <xf numFmtId="0" fontId="77" fillId="13" borderId="52" xfId="12" applyFont="1" applyFill="1" applyBorder="1" applyAlignment="1">
      <alignment horizontal="center" vertical="center"/>
    </xf>
    <xf numFmtId="0" fontId="77" fillId="13" borderId="54" xfId="12" applyFont="1" applyFill="1" applyBorder="1" applyAlignment="1">
      <alignment horizontal="center" vertical="center"/>
    </xf>
    <xf numFmtId="0" fontId="77" fillId="13" borderId="55" xfId="12" applyFont="1" applyFill="1" applyBorder="1" applyAlignment="1">
      <alignment horizontal="center" vertical="center"/>
    </xf>
    <xf numFmtId="0" fontId="77" fillId="13" borderId="56" xfId="12" applyFont="1" applyFill="1" applyBorder="1" applyAlignment="1">
      <alignment horizontal="center" vertical="center"/>
    </xf>
    <xf numFmtId="0" fontId="77" fillId="13" borderId="50" xfId="12" applyFont="1" applyFill="1" applyBorder="1" applyAlignment="1">
      <alignment horizontal="center" vertical="center" wrapText="1"/>
    </xf>
    <xf numFmtId="0" fontId="2" fillId="0" borderId="52" xfId="6" applyBorder="1" applyAlignment="1">
      <alignment horizontal="center" vertical="center" wrapText="1"/>
    </xf>
    <xf numFmtId="0" fontId="77" fillId="13" borderId="53" xfId="12" applyFont="1" applyFill="1" applyBorder="1" applyAlignment="1">
      <alignment horizontal="center" vertical="center" wrapText="1"/>
    </xf>
    <xf numFmtId="0" fontId="2" fillId="0" borderId="58" xfId="6" applyBorder="1" applyAlignment="1">
      <alignment horizontal="center" vertical="center" wrapText="1"/>
    </xf>
    <xf numFmtId="0" fontId="2" fillId="0" borderId="54" xfId="6" applyBorder="1" applyAlignment="1">
      <alignment horizontal="center" vertical="center" wrapText="1"/>
    </xf>
    <xf numFmtId="0" fontId="2" fillId="0" borderId="56" xfId="6" applyBorder="1" applyAlignment="1">
      <alignment horizontal="center" vertical="center" wrapText="1"/>
    </xf>
    <xf numFmtId="0" fontId="77" fillId="13" borderId="51" xfId="12" applyFont="1" applyFill="1" applyBorder="1" applyAlignment="1">
      <alignment horizontal="center" vertical="center" wrapText="1"/>
    </xf>
    <xf numFmtId="0" fontId="2" fillId="0" borderId="51" xfId="6" applyBorder="1" applyAlignment="1">
      <alignment horizontal="center" vertical="center" wrapText="1"/>
    </xf>
    <xf numFmtId="0" fontId="77" fillId="13" borderId="0" xfId="12" applyFont="1" applyFill="1" applyBorder="1" applyAlignment="1">
      <alignment horizontal="center" vertical="center" wrapText="1"/>
    </xf>
    <xf numFmtId="0" fontId="2" fillId="0" borderId="0" xfId="6" applyBorder="1" applyAlignment="1">
      <alignment horizontal="center" vertical="center" wrapText="1"/>
    </xf>
    <xf numFmtId="0" fontId="2" fillId="0" borderId="55" xfId="6" applyBorder="1" applyAlignment="1">
      <alignment horizontal="center" vertical="center" wrapText="1"/>
    </xf>
    <xf numFmtId="0" fontId="77" fillId="13" borderId="50" xfId="12" applyFont="1" applyFill="1" applyBorder="1" applyAlignment="1">
      <alignment horizontal="center"/>
    </xf>
    <xf numFmtId="0" fontId="77" fillId="13" borderId="51" xfId="12" applyFont="1" applyFill="1" applyBorder="1" applyAlignment="1">
      <alignment horizontal="center"/>
    </xf>
    <xf numFmtId="0" fontId="77" fillId="13" borderId="52" xfId="12" applyFont="1" applyFill="1" applyBorder="1" applyAlignment="1">
      <alignment horizontal="center"/>
    </xf>
    <xf numFmtId="0" fontId="77" fillId="13" borderId="54" xfId="12" applyFont="1" applyFill="1" applyBorder="1" applyAlignment="1">
      <alignment horizontal="center"/>
    </xf>
    <xf numFmtId="0" fontId="77" fillId="13" borderId="55" xfId="12" applyFont="1" applyFill="1" applyBorder="1" applyAlignment="1">
      <alignment horizontal="center"/>
    </xf>
    <xf numFmtId="0" fontId="77" fillId="13" borderId="56" xfId="12" applyFont="1" applyFill="1" applyBorder="1" applyAlignment="1">
      <alignment horizontal="center"/>
    </xf>
    <xf numFmtId="0" fontId="77" fillId="13" borderId="63" xfId="12" applyFont="1" applyFill="1" applyBorder="1" applyAlignment="1">
      <alignment horizontal="center" vertical="center" wrapText="1"/>
    </xf>
    <xf numFmtId="0" fontId="2" fillId="0" borderId="68" xfId="6" applyBorder="1" applyAlignment="1">
      <alignment horizontal="center" vertical="center" wrapText="1"/>
    </xf>
    <xf numFmtId="0" fontId="77" fillId="13" borderId="64" xfId="12" applyFont="1" applyFill="1" applyBorder="1" applyAlignment="1">
      <alignment horizontal="center" vertical="center" wrapText="1"/>
    </xf>
    <xf numFmtId="0" fontId="2" fillId="0" borderId="67" xfId="6" applyBorder="1" applyAlignment="1">
      <alignment horizontal="center" vertical="center" wrapText="1"/>
    </xf>
  </cellXfs>
  <cellStyles count="19">
    <cellStyle name="Comma" xfId="1" builtinId="3"/>
    <cellStyle name="Comma 2" xfId="2" xr:uid="{00000000-0005-0000-0000-000001000000}"/>
    <cellStyle name="Currency" xfId="3" builtinId="4"/>
    <cellStyle name="Normal" xfId="0" builtinId="0"/>
    <cellStyle name="Normal 11 2" xfId="4" xr:uid="{00000000-0005-0000-0000-000004000000}"/>
    <cellStyle name="Normal 2" xfId="5" xr:uid="{00000000-0005-0000-0000-000005000000}"/>
    <cellStyle name="Normal 3" xfId="6" xr:uid="{00000000-0005-0000-0000-000006000000}"/>
    <cellStyle name="Normal 75" xfId="7" xr:uid="{00000000-0005-0000-0000-000007000000}"/>
    <cellStyle name="Normal_Attachment B" xfId="8" xr:uid="{00000000-0005-0000-0000-000008000000}"/>
    <cellStyle name="Normal_Berkshire Rate Calculations" xfId="9" xr:uid="{00000000-0005-0000-0000-000009000000}"/>
    <cellStyle name="Normal_Berkshire Rate Calculations 2" xfId="10" xr:uid="{00000000-0005-0000-0000-00000A000000}"/>
    <cellStyle name="Normal_BG rates 02 19 04" xfId="11" xr:uid="{00000000-0005-0000-0000-00000B000000}"/>
    <cellStyle name="Normal_Input Premium 2" xfId="12" xr:uid="{00000000-0005-0000-0000-00000C000000}"/>
    <cellStyle name="Normal_M&amp;R Berkshire rates 2" xfId="13" xr:uid="{00000000-0005-0000-0000-00000D000000}"/>
    <cellStyle name="Normal_MM New Product Premiums 2" xfId="14" xr:uid="{00000000-0005-0000-0000-00000E000000}"/>
    <cellStyle name="Output" xfId="15" builtinId="21"/>
    <cellStyle name="Percent" xfId="16" builtinId="5"/>
    <cellStyle name="Percent 2" xfId="17" xr:uid="{00000000-0005-0000-0000-000011000000}"/>
    <cellStyle name="Percent 3" xfId="18" xr:uid="{00000000-0005-0000-0000-000012000000}"/>
  </cellStyles>
  <dxfs count="45">
    <dxf>
      <font>
        <b val="0"/>
        <i val="0"/>
        <strike val="0"/>
        <condense val="0"/>
        <extend val="0"/>
        <outline val="0"/>
        <shadow val="0"/>
        <u val="none"/>
        <vertAlign val="baseline"/>
        <sz val="10"/>
        <color auto="1"/>
        <name val="Avenir LT Std 35 Light"/>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10"/>
        <color auto="1"/>
        <name val="Avenir LT Std 35 Light"/>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10"/>
        <color auto="1"/>
        <name val="Avenir LT Std 35 Light"/>
        <family val="2"/>
        <scheme val="none"/>
      </font>
      <fill>
        <patternFill patternType="none">
          <fgColor indexed="64"/>
          <bgColor indexed="65"/>
        </patternFill>
      </fill>
    </dxf>
    <dxf>
      <font>
        <b val="0"/>
        <i val="0"/>
        <strike val="0"/>
        <condense val="0"/>
        <extend val="0"/>
        <outline val="0"/>
        <shadow val="0"/>
        <u val="none"/>
        <vertAlign val="baseline"/>
        <sz val="10"/>
        <color auto="1"/>
        <name val="Avenir LT Std 35 Light"/>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12"/>
        <color auto="1"/>
        <name val="Avenir LT Std 35 Light"/>
        <family val="2"/>
        <scheme val="none"/>
      </font>
      <fill>
        <patternFill patternType="none">
          <fgColor indexed="64"/>
          <bgColor indexed="65"/>
        </patternFill>
      </fill>
    </dxf>
    <dxf>
      <font>
        <b val="0"/>
        <i val="0"/>
        <strike val="0"/>
        <condense val="0"/>
        <extend val="0"/>
        <outline val="0"/>
        <shadow val="0"/>
        <u val="none"/>
        <vertAlign val="baseline"/>
        <sz val="12"/>
        <color auto="1"/>
        <name val="Avenir LT Std 35 Light"/>
        <family val="2"/>
        <scheme val="none"/>
      </font>
      <fill>
        <patternFill patternType="none">
          <fgColor indexed="64"/>
          <bgColor indexed="65"/>
        </patternFill>
      </fill>
    </dxf>
    <dxf>
      <font>
        <b val="0"/>
        <i val="0"/>
        <strike val="0"/>
        <condense val="0"/>
        <extend val="0"/>
        <outline val="0"/>
        <shadow val="0"/>
        <u val="none"/>
        <vertAlign val="baseline"/>
        <sz val="12"/>
        <color auto="1"/>
        <name val="Avenir LT Std 35 Light"/>
        <family val="2"/>
        <scheme val="none"/>
      </font>
      <fill>
        <patternFill patternType="none">
          <fgColor indexed="64"/>
          <bgColor indexed="65"/>
        </patternFill>
      </fill>
    </dxf>
    <dxf>
      <font>
        <b val="0"/>
        <i val="0"/>
        <strike val="0"/>
        <condense val="0"/>
        <extend val="0"/>
        <outline val="0"/>
        <shadow val="0"/>
        <u val="none"/>
        <vertAlign val="baseline"/>
        <sz val="12"/>
        <color auto="1"/>
        <name val="Avenir LT Std 35 Light"/>
        <family val="2"/>
        <scheme val="none"/>
      </font>
      <fill>
        <patternFill patternType="none">
          <fgColor indexed="64"/>
          <bgColor indexed="65"/>
        </patternFill>
      </fill>
    </dxf>
    <dxf>
      <font>
        <b val="0"/>
        <i val="0"/>
        <strike val="0"/>
        <condense val="0"/>
        <extend val="0"/>
        <outline val="0"/>
        <shadow val="0"/>
        <u val="none"/>
        <vertAlign val="baseline"/>
        <sz val="12"/>
        <color auto="1"/>
        <name val="Avenir LT Std 35 Light"/>
        <family val="2"/>
        <scheme val="none"/>
      </font>
      <fill>
        <patternFill patternType="none">
          <fgColor indexed="64"/>
          <bgColor indexed="65"/>
        </patternFill>
      </fill>
    </dxf>
    <dxf>
      <font>
        <b val="0"/>
        <i val="0"/>
        <strike val="0"/>
        <condense val="0"/>
        <extend val="0"/>
        <outline val="0"/>
        <shadow val="0"/>
        <u val="none"/>
        <vertAlign val="baseline"/>
        <sz val="12"/>
        <color auto="1"/>
        <name val="Avenir LT Std 35 Light"/>
        <family val="2"/>
        <scheme val="none"/>
      </font>
      <fill>
        <patternFill patternType="none">
          <fgColor indexed="64"/>
          <bgColor indexed="65"/>
        </patternFill>
      </fill>
    </dxf>
    <dxf>
      <font>
        <b val="0"/>
        <i val="0"/>
        <strike val="0"/>
        <condense val="0"/>
        <extend val="0"/>
        <outline val="0"/>
        <shadow val="0"/>
        <u val="none"/>
        <vertAlign val="baseline"/>
        <sz val="12"/>
        <color auto="1"/>
        <name val="Avenir LT Std 35 Light"/>
        <family val="2"/>
        <scheme val="none"/>
      </font>
      <fill>
        <patternFill patternType="none">
          <fgColor indexed="64"/>
          <bgColor indexed="65"/>
        </patternFill>
      </fill>
    </dxf>
    <dxf>
      <font>
        <b val="0"/>
        <i val="0"/>
        <strike val="0"/>
        <condense val="0"/>
        <extend val="0"/>
        <outline val="0"/>
        <shadow val="0"/>
        <u val="none"/>
        <vertAlign val="baseline"/>
        <sz val="12"/>
        <color auto="1"/>
        <name val="Avenir LT Std 35 Light"/>
        <family val="2"/>
        <scheme val="none"/>
      </font>
      <fill>
        <patternFill patternType="none">
          <fgColor indexed="64"/>
          <bgColor indexed="65"/>
        </patternFill>
      </fill>
    </dxf>
    <dxf>
      <font>
        <b val="0"/>
        <i val="0"/>
        <strike val="0"/>
        <condense val="0"/>
        <extend val="0"/>
        <outline val="0"/>
        <shadow val="0"/>
        <u val="none"/>
        <vertAlign val="baseline"/>
        <sz val="12"/>
        <color auto="1"/>
        <name val="Avenir LT Std 35 Light"/>
        <family val="2"/>
        <scheme val="none"/>
      </font>
      <fill>
        <patternFill patternType="none">
          <fgColor indexed="64"/>
          <bgColor indexed="65"/>
        </patternFill>
      </fill>
    </dxf>
    <dxf>
      <font>
        <b val="0"/>
        <i val="0"/>
        <strike val="0"/>
        <condense val="0"/>
        <extend val="0"/>
        <outline val="0"/>
        <shadow val="0"/>
        <u val="none"/>
        <vertAlign val="baseline"/>
        <sz val="12"/>
        <color auto="1"/>
        <name val="Avenir LT Std 35 Light"/>
        <family val="2"/>
        <scheme val="none"/>
      </font>
      <fill>
        <patternFill patternType="none">
          <fgColor indexed="64"/>
          <bgColor indexed="65"/>
        </patternFill>
      </fill>
    </dxf>
    <dxf>
      <font>
        <color rgb="FFFF0000"/>
      </font>
      <fill>
        <patternFill>
          <bgColor theme="5" tint="0.79998168889431442"/>
        </patternFill>
      </fill>
    </dxf>
    <dxf>
      <font>
        <b/>
        <i val="0"/>
        <color rgb="FF003F5F"/>
      </font>
    </dxf>
    <dxf>
      <font>
        <b/>
        <i val="0"/>
        <color rgb="FF003F5F"/>
      </font>
      <fill>
        <patternFill>
          <bgColor theme="4"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b/>
        <i val="0"/>
        <color rgb="FF003F5F"/>
      </font>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b val="0"/>
        <i val="0"/>
        <color auto="1"/>
      </font>
      <fill>
        <patternFill>
          <bgColor theme="4"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theme="0"/>
      </font>
    </dxf>
  </dxfs>
  <tableStyles count="0" defaultTableStyle="TableStyleMedium2" defaultPivotStyle="PivotStyleLight16"/>
  <colors>
    <mruColors>
      <color rgb="FF003F5F"/>
      <color rgb="FF7ABC32"/>
      <color rgb="FF0EA5E2"/>
      <color rgb="FF73AFB6"/>
      <color rgb="FF2F7DFD"/>
      <color rgb="FF8C8B74"/>
      <color rgb="FFF6D616"/>
      <color rgb="FF808285"/>
      <color rgb="FFA9C398"/>
      <color rgb="FFB9A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t" anchorCtr="0"/>
          <a:lstStyle/>
          <a:p>
            <a:pPr>
              <a:defRPr>
                <a:solidFill>
                  <a:srgbClr val="003F5F"/>
                </a:solidFill>
                <a:latin typeface="+mn-lt"/>
                <a:ea typeface="+mn-ea"/>
                <a:cs typeface="+mn-cs"/>
              </a:defRPr>
            </a:pPr>
            <a:r>
              <a:rPr lang="en-US" sz="1800">
                <a:solidFill>
                  <a:srgbClr val="003F5F"/>
                </a:solidFill>
                <a:latin typeface="+mn-lt"/>
                <a:ea typeface="+mn-ea"/>
                <a:cs typeface="+mn-cs"/>
              </a:rPr>
              <a:t>Benefits</a:t>
            </a:r>
            <a:r>
              <a:rPr lang="en-US" sz="1800" baseline="0">
                <a:solidFill>
                  <a:srgbClr val="003F5F"/>
                </a:solidFill>
                <a:latin typeface="+mn-lt"/>
                <a:ea typeface="+mn-ea"/>
                <a:cs typeface="+mn-cs"/>
              </a:rPr>
              <a:t> Buddy</a:t>
            </a:r>
            <a:endParaRPr lang="en-US" sz="1800">
              <a:solidFill>
                <a:srgbClr val="003F5F"/>
              </a:solidFill>
              <a:latin typeface="+mj-lt"/>
            </a:endParaRPr>
          </a:p>
        </c:rich>
      </c:tx>
      <c:layout>
        <c:manualLayout>
          <c:xMode val="edge"/>
          <c:yMode val="edge"/>
          <c:x val="0.43103206045471748"/>
          <c:y val="1.1764692185628148E-2"/>
        </c:manualLayout>
      </c:layout>
      <c:overlay val="0"/>
      <c:spPr>
        <a:solidFill>
          <a:sysClr val="window" lastClr="FFFFFF"/>
        </a:solidFill>
        <a:ln w="12700" cap="flat" cmpd="sng" algn="ctr">
          <a:noFill/>
          <a:prstDash val="solid"/>
          <a:miter lim="800000"/>
        </a:ln>
        <a:effectLst/>
      </c:spPr>
    </c:title>
    <c:autoTitleDeleted val="0"/>
    <c:plotArea>
      <c:layout>
        <c:manualLayout>
          <c:layoutTarget val="inner"/>
          <c:xMode val="edge"/>
          <c:yMode val="edge"/>
          <c:x val="0.1194831958030106"/>
          <c:y val="0.18439125605726642"/>
          <c:w val="0.76544113613535003"/>
          <c:h val="0.66634363397804108"/>
        </c:manualLayout>
      </c:layout>
      <c:ofPieChart>
        <c:ofPieType val="pie"/>
        <c:varyColors val="1"/>
        <c:ser>
          <c:idx val="0"/>
          <c:order val="0"/>
          <c:spPr>
            <a:effectLst/>
          </c:spPr>
          <c:dPt>
            <c:idx val="0"/>
            <c:bubble3D val="0"/>
            <c:spPr>
              <a:solidFill>
                <a:srgbClr val="7ABC32"/>
              </a:solidFill>
              <a:ln w="63500">
                <a:solidFill>
                  <a:schemeClr val="lt1"/>
                </a:solidFill>
              </a:ln>
              <a:effectLst/>
            </c:spPr>
            <c:extLst>
              <c:ext xmlns:c16="http://schemas.microsoft.com/office/drawing/2014/chart" uri="{C3380CC4-5D6E-409C-BE32-E72D297353CC}">
                <c16:uniqueId val="{00000001-AAFB-4C32-8ADA-EEBEC0727026}"/>
              </c:ext>
            </c:extLst>
          </c:dPt>
          <c:dPt>
            <c:idx val="1"/>
            <c:bubble3D val="0"/>
            <c:spPr>
              <a:solidFill>
                <a:srgbClr val="F6D616"/>
              </a:solidFill>
              <a:ln w="63500">
                <a:solidFill>
                  <a:schemeClr val="lt1"/>
                </a:solidFill>
              </a:ln>
              <a:effectLst/>
            </c:spPr>
            <c:extLst>
              <c:ext xmlns:c16="http://schemas.microsoft.com/office/drawing/2014/chart" uri="{C3380CC4-5D6E-409C-BE32-E72D297353CC}">
                <c16:uniqueId val="{00000003-AAFB-4C32-8ADA-EEBEC0727026}"/>
              </c:ext>
            </c:extLst>
          </c:dPt>
          <c:dPt>
            <c:idx val="2"/>
            <c:bubble3D val="0"/>
            <c:spPr>
              <a:solidFill>
                <a:srgbClr val="7ABC32"/>
              </a:solidFill>
              <a:ln w="63500">
                <a:solidFill>
                  <a:schemeClr val="lt1"/>
                </a:solidFill>
              </a:ln>
              <a:effectLst/>
            </c:spPr>
            <c:extLst>
              <c:ext xmlns:c16="http://schemas.microsoft.com/office/drawing/2014/chart" uri="{C3380CC4-5D6E-409C-BE32-E72D297353CC}">
                <c16:uniqueId val="{00000005-AAFB-4C32-8ADA-EEBEC0727026}"/>
              </c:ext>
            </c:extLst>
          </c:dPt>
          <c:dPt>
            <c:idx val="3"/>
            <c:bubble3D val="0"/>
            <c:spPr>
              <a:solidFill>
                <a:schemeClr val="accent2">
                  <a:lumMod val="75000"/>
                </a:schemeClr>
              </a:solidFill>
              <a:ln w="63500">
                <a:solidFill>
                  <a:schemeClr val="lt1"/>
                </a:solidFill>
              </a:ln>
              <a:effectLst/>
            </c:spPr>
            <c:extLst>
              <c:ext xmlns:c16="http://schemas.microsoft.com/office/drawing/2014/chart" uri="{C3380CC4-5D6E-409C-BE32-E72D297353CC}">
                <c16:uniqueId val="{00000007-AAFB-4C32-8ADA-EEBEC0727026}"/>
              </c:ext>
            </c:extLst>
          </c:dPt>
          <c:dPt>
            <c:idx val="4"/>
            <c:bubble3D val="0"/>
            <c:spPr>
              <a:solidFill>
                <a:srgbClr val="0EA5E2"/>
              </a:solidFill>
              <a:ln w="63500">
                <a:solidFill>
                  <a:schemeClr val="lt1"/>
                </a:solidFill>
              </a:ln>
              <a:effectLst/>
            </c:spPr>
            <c:extLst>
              <c:ext xmlns:c16="http://schemas.microsoft.com/office/drawing/2014/chart" uri="{C3380CC4-5D6E-409C-BE32-E72D297353CC}">
                <c16:uniqueId val="{00000009-AAFB-4C32-8ADA-EEBEC0727026}"/>
              </c:ext>
            </c:extLst>
          </c:dPt>
          <c:dLbls>
            <c:dLbl>
              <c:idx val="0"/>
              <c:layout>
                <c:manualLayout>
                  <c:x val="7.6000282174259774E-3"/>
                  <c:y val="1.5531428512982027E-2"/>
                </c:manualLayout>
              </c:layout>
              <c:spPr>
                <a:solidFill>
                  <a:schemeClr val="bg1">
                    <a:lumMod val="50000"/>
                    <a:alpha val="10000"/>
                  </a:schemeClr>
                </a:solidFill>
                <a:ln>
                  <a:noFill/>
                </a:ln>
                <a:effectLst/>
              </c:spPr>
              <c:txPr>
                <a:bodyPr rot="0" vertOverflow="clip" horzOverflow="clip" vert="horz" wrap="square" lIns="45720" tIns="0" rIns="45720" bIns="0" anchor="t" anchorCtr="0">
                  <a:noAutofit/>
                </a:bodyPr>
                <a:lstStyle/>
                <a:p>
                  <a:pPr algn="l">
                    <a:defRPr sz="1400" b="1" i="0" baseline="0">
                      <a:solidFill>
                        <a:sysClr val="windowText" lastClr="000000"/>
                      </a:solidFill>
                      <a:effectLst/>
                      <a:latin typeface="+mn-lt"/>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6050124236377805"/>
                      <c:h val="0.23324014879152219"/>
                    </c:manualLayout>
                  </c15:layout>
                </c:ext>
                <c:ext xmlns:c16="http://schemas.microsoft.com/office/drawing/2014/chart" uri="{C3380CC4-5D6E-409C-BE32-E72D297353CC}">
                  <c16:uniqueId val="{00000001-AAFB-4C32-8ADA-EEBEC0727026}"/>
                </c:ext>
              </c:extLst>
            </c:dLbl>
            <c:dLbl>
              <c:idx val="1"/>
              <c:layout>
                <c:manualLayout>
                  <c:x val="-7.6866314472269224E-3"/>
                  <c:y val="5.2834379935367423E-2"/>
                </c:manualLayout>
              </c:layout>
              <c:spPr>
                <a:solidFill>
                  <a:schemeClr val="bg1">
                    <a:alpha val="10000"/>
                  </a:schemeClr>
                </a:solidFill>
                <a:ln>
                  <a:noFill/>
                </a:ln>
                <a:effectLst/>
              </c:spPr>
              <c:txPr>
                <a:bodyPr rot="0" vertOverflow="clip" horzOverflow="clip" vert="horz" wrap="square" lIns="45720" tIns="0" rIns="45720" bIns="0" anchor="t" anchorCtr="0">
                  <a:spAutoFit/>
                </a:bodyPr>
                <a:lstStyle/>
                <a:p>
                  <a:pPr algn="r">
                    <a:defRPr sz="1400" b="1" i="0" baseline="0">
                      <a:solidFill>
                        <a:sysClr val="windowText" lastClr="000000"/>
                      </a:solidFill>
                      <a:effectLst/>
                      <a:latin typeface="+mn-lt"/>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AAFB-4C32-8ADA-EEBEC0727026}"/>
                </c:ext>
              </c:extLst>
            </c:dLbl>
            <c:dLbl>
              <c:idx val="2"/>
              <c:layout>
                <c:manualLayout>
                  <c:x val="-7.2207227253656935E-3"/>
                  <c:y val="-3.7685344332611642E-2"/>
                </c:manualLayout>
              </c:layout>
              <c:spPr>
                <a:solidFill>
                  <a:schemeClr val="bg1">
                    <a:alpha val="10000"/>
                  </a:schemeClr>
                </a:solidFill>
                <a:ln>
                  <a:noFill/>
                </a:ln>
                <a:effectLst/>
              </c:spPr>
              <c:txPr>
                <a:bodyPr rot="0" vertOverflow="overflow" horzOverflow="overflow" vert="horz" wrap="square" lIns="45720" tIns="45720" rIns="45720" bIns="45720" anchor="t" anchorCtr="0">
                  <a:noAutofit/>
                </a:bodyPr>
                <a:lstStyle/>
                <a:p>
                  <a:pPr algn="r">
                    <a:defRPr sz="1400" b="1" i="0" baseline="0">
                      <a:solidFill>
                        <a:sysClr val="windowText" lastClr="000000"/>
                      </a:solidFill>
                      <a:effectLst/>
                      <a:latin typeface="+mn-lt"/>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0521789217969263"/>
                      <c:h val="0.20065236927857683"/>
                    </c:manualLayout>
                  </c15:layout>
                </c:ext>
                <c:ext xmlns:c16="http://schemas.microsoft.com/office/drawing/2014/chart" uri="{C3380CC4-5D6E-409C-BE32-E72D297353CC}">
                  <c16:uniqueId val="{00000005-AAFB-4C32-8ADA-EEBEC0727026}"/>
                </c:ext>
              </c:extLst>
            </c:dLbl>
            <c:dLbl>
              <c:idx val="3"/>
              <c:layout>
                <c:manualLayout>
                  <c:x val="-1.5517740398015603E-2"/>
                  <c:y val="-1.8113219915673648E-2"/>
                </c:manualLayout>
              </c:layout>
              <c:spPr>
                <a:solidFill>
                  <a:schemeClr val="bg1">
                    <a:alpha val="10000"/>
                  </a:schemeClr>
                </a:solidFill>
                <a:ln>
                  <a:noFill/>
                </a:ln>
                <a:effectLst/>
              </c:spPr>
              <c:txPr>
                <a:bodyPr rot="0" vertOverflow="clip" horzOverflow="clip" vert="horz" wrap="square" lIns="45720" tIns="0" rIns="45720" bIns="0" anchor="t" anchorCtr="0">
                  <a:noAutofit/>
                </a:bodyPr>
                <a:lstStyle/>
                <a:p>
                  <a:pPr algn="r">
                    <a:defRPr sz="1400" b="1" i="0" baseline="0">
                      <a:solidFill>
                        <a:sysClr val="windowText" lastClr="000000"/>
                      </a:solidFill>
                      <a:effectLst/>
                      <a:latin typeface="+mn-lt"/>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0754606774347312"/>
                      <c:h val="0.16897582393468122"/>
                    </c:manualLayout>
                  </c15:layout>
                </c:ext>
                <c:ext xmlns:c16="http://schemas.microsoft.com/office/drawing/2014/chart" uri="{C3380CC4-5D6E-409C-BE32-E72D297353CC}">
                  <c16:uniqueId val="{00000007-AAFB-4C32-8ADA-EEBEC0727026}"/>
                </c:ext>
              </c:extLst>
            </c:dLbl>
            <c:dLbl>
              <c:idx val="4"/>
              <c:delete val="1"/>
              <c:extLst>
                <c:ext xmlns:c15="http://schemas.microsoft.com/office/drawing/2012/chart" uri="{CE6537A1-D6FC-4f65-9D91-7224C49458BB}"/>
                <c:ext xmlns:c16="http://schemas.microsoft.com/office/drawing/2014/chart" uri="{C3380CC4-5D6E-409C-BE32-E72D297353CC}">
                  <c16:uniqueId val="{00000009-AAFB-4C32-8ADA-EEBEC0727026}"/>
                </c:ext>
              </c:extLst>
            </c:dLbl>
            <c:spPr>
              <a:solidFill>
                <a:schemeClr val="bg1">
                  <a:alpha val="10000"/>
                </a:schemeClr>
              </a:solidFill>
              <a:ln>
                <a:noFill/>
              </a:ln>
              <a:effectLst/>
            </c:spPr>
            <c:txPr>
              <a:bodyPr rot="0" vertOverflow="overflow" horzOverflow="overflow" vert="horz" wrap="square" lIns="45720" tIns="0" rIns="45720" bIns="0" anchor="ctr"/>
              <a:lstStyle/>
              <a:p>
                <a:pPr>
                  <a:defRPr sz="1400" b="1" i="0" baseline="0">
                    <a:solidFill>
                      <a:sysClr val="windowText" lastClr="000000"/>
                    </a:solidFill>
                    <a:effectLst/>
                    <a:latin typeface="+mn-lt"/>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15:spPr xmlns:c15="http://schemas.microsoft.com/office/drawing/2012/chart">
                  <a:prstGeom prst="rect">
                    <a:avLst/>
                  </a:prstGeom>
                </c15:spPr>
              </c:ext>
            </c:extLst>
          </c:dLbls>
          <c:cat>
            <c:strRef>
              <c:f>'Premiums Rates'!$AK$10:$AK$13</c:f>
              <c:strCache>
                <c:ptCount val="4"/>
                <c:pt idx="0">
                  <c:v>Total Paid Premiums</c:v>
                </c:pt>
                <c:pt idx="1">
                  <c:v>1st Insured LTC Up To Max Benefits Payable</c:v>
                </c:pt>
                <c:pt idx="2">
                  <c:v>2nd Insured LTC Up To Max Benefits Payable</c:v>
                </c:pt>
                <c:pt idx="3">
                  <c:v>Shared LTC Up To Max Benefits Payable</c:v>
                </c:pt>
              </c:strCache>
            </c:strRef>
          </c:cat>
          <c:val>
            <c:numRef>
              <c:f>'Premiums Rates'!$AL$10:$AL$13</c:f>
              <c:numCache>
                <c:formatCode>"$"#,##0</c:formatCode>
                <c:ptCount val="4"/>
                <c:pt idx="0">
                  <c:v>81072.999999999971</c:v>
                </c:pt>
                <c:pt idx="1">
                  <c:v>608608.30000000005</c:v>
                </c:pt>
                <c:pt idx="2">
                  <c:v>608608.30000000005</c:v>
                </c:pt>
                <c:pt idx="3">
                  <c:v>705545</c:v>
                </c:pt>
              </c:numCache>
            </c:numRef>
          </c:val>
          <c:extLst>
            <c:ext xmlns:c16="http://schemas.microsoft.com/office/drawing/2014/chart" uri="{C3380CC4-5D6E-409C-BE32-E72D297353CC}">
              <c16:uniqueId val="{0000000A-AAFB-4C32-8ADA-EEBEC0727026}"/>
            </c:ext>
          </c:extLst>
        </c:ser>
        <c:dLbls>
          <c:showLegendKey val="0"/>
          <c:showVal val="0"/>
          <c:showCatName val="0"/>
          <c:showSerName val="0"/>
          <c:showPercent val="0"/>
          <c:showBubbleSize val="0"/>
          <c:showLeaderLines val="1"/>
        </c:dLbls>
        <c:gapWidth val="150"/>
        <c:splitType val="pos"/>
        <c:splitPos val="3"/>
        <c:secondPieSize val="75"/>
      </c:ofPieChart>
    </c:plotArea>
    <c:plotVisOnly val="1"/>
    <c:dispBlanksAs val="zero"/>
    <c:showDLblsOverMax val="0"/>
  </c:chart>
  <c:spPr>
    <a:noFill/>
    <a:ln w="6350" cap="flat" cmpd="sng" algn="ctr">
      <a:noFill/>
      <a:round/>
    </a:ln>
    <a:effectLst/>
  </c:spPr>
  <c:txPr>
    <a:bodyPr/>
    <a:lstStyle/>
    <a:p>
      <a:pPr>
        <a:defRPr sz="1200">
          <a:latin typeface="Avenir LT Std 35 Light" panose="020B0402020203020204" pitchFamily="34" charset="0"/>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Premium!C13"/><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5</xdr:col>
      <xdr:colOff>32780</xdr:colOff>
      <xdr:row>8</xdr:row>
      <xdr:rowOff>30317</xdr:rowOff>
    </xdr:from>
    <xdr:to>
      <xdr:col>14</xdr:col>
      <xdr:colOff>54552</xdr:colOff>
      <xdr:row>30</xdr:row>
      <xdr:rowOff>93550</xdr:rowOff>
    </xdr:to>
    <xdr:graphicFrame macro="">
      <xdr:nvGraphicFramePr>
        <xdr:cNvPr id="1122" name="Chart 1">
          <a:extLst>
            <a:ext uri="{FF2B5EF4-FFF2-40B4-BE49-F238E27FC236}">
              <a16:creationId xmlns:a16="http://schemas.microsoft.com/office/drawing/2014/main" id="{00000000-0008-0000-0000-00006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7144</xdr:colOff>
      <xdr:row>1</xdr:row>
      <xdr:rowOff>66675</xdr:rowOff>
    </xdr:from>
    <xdr:to>
      <xdr:col>2</xdr:col>
      <xdr:colOff>707232</xdr:colOff>
      <xdr:row>1</xdr:row>
      <xdr:rowOff>446649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94" y="66675"/>
          <a:ext cx="2481262" cy="3799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19051</xdr:colOff>
          <xdr:row>12</xdr:row>
          <xdr:rowOff>28575</xdr:rowOff>
        </xdr:from>
        <xdr:to>
          <xdr:col>2</xdr:col>
          <xdr:colOff>552451</xdr:colOff>
          <xdr:row>12</xdr:row>
          <xdr:rowOff>171450</xdr:rowOff>
        </xdr:to>
        <xdr:pic>
          <xdr:nvPicPr>
            <xdr:cNvPr id="9" name="Picture 8">
              <a:hlinkClick xmlns:r="http://schemas.openxmlformats.org/officeDocument/2006/relationships" r:id="rId3" tooltip="Daily Benefit Amount may be calculated by Target Premium"/>
              <a:extLst>
                <a:ext uri="{FF2B5EF4-FFF2-40B4-BE49-F238E27FC236}">
                  <a16:creationId xmlns:a16="http://schemas.microsoft.com/office/drawing/2014/main" id="{BDE1518F-217B-46D9-8061-777B0976915C}"/>
                </a:ext>
              </a:extLst>
            </xdr:cNvPr>
            <xdr:cNvPicPr>
              <a:picLocks noChangeAspect="1" noChangeArrowheads="1"/>
              <a:extLst>
                <a:ext uri="{84589F7E-364E-4C9E-8A38-B11213B215E9}">
                  <a14:cameraTool cellRange="'Premiums Rates'!$J$94" spid="_x0000_s1324"/>
                </a:ext>
              </a:extLst>
            </xdr:cNvPicPr>
          </xdr:nvPicPr>
          <xdr:blipFill rotWithShape="1">
            <a:blip xmlns:r="http://schemas.openxmlformats.org/officeDocument/2006/relationships" r:embed="rId4"/>
            <a:srcRect l="1505" t="18182" r="56390" b="13636"/>
            <a:stretch>
              <a:fillRect/>
            </a:stretch>
          </xdr:blipFill>
          <xdr:spPr bwMode="auto">
            <a:xfrm>
              <a:off x="1915392" y="2383848"/>
              <a:ext cx="533400" cy="142875"/>
            </a:xfrm>
            <a:prstGeom prst="rect">
              <a:avLst/>
            </a:prstGeom>
            <a:solidFill>
              <a:schemeClr val="bg1"/>
            </a:solidFill>
          </xdr:spPr>
        </xdr:pic>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0.48522</cdr:x>
      <cdr:y>0.53102</cdr:y>
    </cdr:from>
    <cdr:to>
      <cdr:x>0.56732</cdr:x>
      <cdr:y>0.53363</cdr:y>
    </cdr:to>
    <cdr:cxnSp macro="">
      <cdr:nvCxnSpPr>
        <cdr:cNvPr id="10" name="Straight Arrow Connector 9">
          <a:extLst xmlns:a="http://schemas.openxmlformats.org/drawingml/2006/main">
            <a:ext uri="{FF2B5EF4-FFF2-40B4-BE49-F238E27FC236}">
              <a16:creationId xmlns:a16="http://schemas.microsoft.com/office/drawing/2014/main" id="{CB3C8D57-676F-40D7-8255-9232E24588A0}"/>
            </a:ext>
          </a:extLst>
        </cdr:cNvPr>
        <cdr:cNvCxnSpPr/>
      </cdr:nvCxnSpPr>
      <cdr:spPr>
        <a:xfrm xmlns:a="http://schemas.openxmlformats.org/drawingml/2006/main">
          <a:off x="4068435" y="2285657"/>
          <a:ext cx="688386" cy="11234"/>
        </a:xfrm>
        <a:prstGeom xmlns:a="http://schemas.openxmlformats.org/drawingml/2006/main" prst="straightConnector1">
          <a:avLst/>
        </a:prstGeom>
        <a:ln xmlns:a="http://schemas.openxmlformats.org/drawingml/2006/main" w="127000">
          <a:solidFill>
            <a:schemeClr val="bg1">
              <a:lumMod val="75000"/>
            </a:schemeClr>
          </a:solidFill>
          <a:headEnd w="lg" len="lg"/>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0.02476</cdr:x>
      <cdr:y>0.89639</cdr:y>
    </cdr:from>
    <cdr:to>
      <cdr:x>0.70484</cdr:x>
      <cdr:y>0.9982</cdr:y>
    </cdr:to>
    <cdr:sp macro="" textlink="">
      <cdr:nvSpPr>
        <cdr:cNvPr id="9" name="Rounded Rectangle 8">
          <a:extLst xmlns:a="http://schemas.openxmlformats.org/drawingml/2006/main">
            <a:ext uri="{FF2B5EF4-FFF2-40B4-BE49-F238E27FC236}">
              <a16:creationId xmlns:a16="http://schemas.microsoft.com/office/drawing/2014/main" id="{C9D0F166-C9B8-4BF5-B774-D98296497FAD}"/>
            </a:ext>
          </a:extLst>
        </cdr:cNvPr>
        <cdr:cNvSpPr/>
      </cdr:nvSpPr>
      <cdr:spPr>
        <a:xfrm xmlns:a="http://schemas.openxmlformats.org/drawingml/2006/main">
          <a:off x="207640" y="3858559"/>
          <a:ext cx="5703871" cy="438247"/>
        </a:xfrm>
        <a:prstGeom xmlns:a="http://schemas.openxmlformats.org/drawingml/2006/main" prst="roundRect">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0.17238</cdr:x>
      <cdr:y>0.66059</cdr:y>
    </cdr:from>
    <cdr:to>
      <cdr:x>0.36376</cdr:x>
      <cdr:y>0.76838</cdr:y>
    </cdr:to>
    <cdr:sp macro="" textlink="'Premiums Rates'!$AL$22">
      <cdr:nvSpPr>
        <cdr:cNvPr id="2" name="Rounded Rectangle 1">
          <a:extLst xmlns:a="http://schemas.openxmlformats.org/drawingml/2006/main">
            <a:ext uri="{FF2B5EF4-FFF2-40B4-BE49-F238E27FC236}">
              <a16:creationId xmlns:a16="http://schemas.microsoft.com/office/drawing/2014/main" id="{2D1BC922-A6F6-4DC3-9DA2-1824F926D9DD}"/>
            </a:ext>
          </a:extLst>
        </cdr:cNvPr>
        <cdr:cNvSpPr/>
      </cdr:nvSpPr>
      <cdr:spPr>
        <a:xfrm xmlns:a="http://schemas.openxmlformats.org/drawingml/2006/main">
          <a:off x="1445358" y="2843338"/>
          <a:ext cx="1604668" cy="46395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3021A969-3497-4F65-A46F-503F466F6671}" type="TxLink">
            <a:rPr lang="en-US" sz="2800" b="1" i="0" u="none" strike="noStrike" cap="none" spc="0">
              <a:ln w="0">
                <a:noFill/>
              </a:ln>
              <a:solidFill>
                <a:schemeClr val="tx1"/>
              </a:solidFill>
              <a:effectLst/>
              <a:latin typeface="+mn-lt"/>
            </a:rPr>
            <a:pPr algn="ctr"/>
            <a:t>23.7</a:t>
          </a:fld>
          <a:endParaRPr lang="en-US" sz="2800" b="1" i="0" cap="none" spc="0">
            <a:ln w="0">
              <a:noFill/>
            </a:ln>
            <a:solidFill>
              <a:schemeClr val="tx1"/>
            </a:solidFill>
            <a:effectLst/>
            <a:latin typeface="+mn-lt"/>
          </a:endParaRPr>
        </a:p>
      </cdr:txBody>
    </cdr:sp>
  </cdr:relSizeAnchor>
  <cdr:relSizeAnchor xmlns:cdr="http://schemas.openxmlformats.org/drawingml/2006/chartDrawing">
    <cdr:from>
      <cdr:x>0.15689</cdr:x>
      <cdr:y>0.6202</cdr:y>
    </cdr:from>
    <cdr:to>
      <cdr:x>0.3894</cdr:x>
      <cdr:y>0.68103</cdr:y>
    </cdr:to>
    <cdr:sp macro="" textlink="">
      <cdr:nvSpPr>
        <cdr:cNvPr id="3" name="TextBox 1">
          <a:extLst xmlns:a="http://schemas.openxmlformats.org/drawingml/2006/main">
            <a:ext uri="{FF2B5EF4-FFF2-40B4-BE49-F238E27FC236}">
              <a16:creationId xmlns:a16="http://schemas.microsoft.com/office/drawing/2014/main" id="{C2C52613-913E-4CF3-98C1-832E9E98C519}"/>
            </a:ext>
          </a:extLst>
        </cdr:cNvPr>
        <cdr:cNvSpPr txBox="1"/>
      </cdr:nvSpPr>
      <cdr:spPr>
        <a:xfrm xmlns:a="http://schemas.openxmlformats.org/drawingml/2006/main">
          <a:off x="1318841" y="2764017"/>
          <a:ext cx="1954538" cy="271073"/>
        </a:xfrm>
        <a:prstGeom xmlns:a="http://schemas.openxmlformats.org/drawingml/2006/main" prst="rect">
          <a:avLst/>
        </a:prstGeom>
        <a:ln xmlns:a="http://schemas.openxmlformats.org/drawingml/2006/main" w="12700" cap="sq" cmpd="tri">
          <a:noFill/>
          <a:prstDash val="solid"/>
          <a:round/>
        </a:l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i="0" baseline="0">
              <a:ln>
                <a:noFill/>
              </a:ln>
              <a:solidFill>
                <a:schemeClr val="tx1"/>
              </a:solidFill>
              <a:effectLst/>
              <a:latin typeface="+mn-lt"/>
            </a:rPr>
            <a:t>MAX BENEFIT RATIO*</a:t>
          </a:r>
          <a:endParaRPr lang="en-US" sz="1600" b="1" i="0">
            <a:ln>
              <a:noFill/>
            </a:ln>
            <a:solidFill>
              <a:schemeClr val="tx1"/>
            </a:solidFill>
            <a:effectLst/>
            <a:latin typeface="+mn-lt"/>
          </a:endParaRPr>
        </a:p>
      </cdr:txBody>
    </cdr:sp>
  </cdr:relSizeAnchor>
  <cdr:relSizeAnchor xmlns:cdr="http://schemas.openxmlformats.org/drawingml/2006/chartDrawing">
    <cdr:from>
      <cdr:x>0.02189</cdr:x>
      <cdr:y>0.04397</cdr:y>
    </cdr:from>
    <cdr:to>
      <cdr:x>0.36674</cdr:x>
      <cdr:y>0.09923</cdr:y>
    </cdr:to>
    <cdr:sp macro="" textlink="'Premiums Rates'!$I$87">
      <cdr:nvSpPr>
        <cdr:cNvPr id="4" name="TextBox 1">
          <a:extLst xmlns:a="http://schemas.openxmlformats.org/drawingml/2006/main">
            <a:ext uri="{FF2B5EF4-FFF2-40B4-BE49-F238E27FC236}">
              <a16:creationId xmlns:a16="http://schemas.microsoft.com/office/drawing/2014/main" id="{ED781C0C-71BB-4ABF-8ACB-C1F34D9AB1DA}"/>
            </a:ext>
          </a:extLst>
        </cdr:cNvPr>
        <cdr:cNvSpPr txBox="1"/>
      </cdr:nvSpPr>
      <cdr:spPr>
        <a:xfrm xmlns:a="http://schemas.openxmlformats.org/drawingml/2006/main">
          <a:off x="183228" y="189153"/>
          <a:ext cx="2886543" cy="237720"/>
        </a:xfrm>
        <a:prstGeom xmlns:a="http://schemas.openxmlformats.org/drawingml/2006/main" prst="rect">
          <a:avLst/>
        </a:prstGeom>
      </cdr:spPr>
      <cdr:txBody>
        <a:bodyPr xmlns:a="http://schemas.openxmlformats.org/drawingml/2006/main" vertOverflow="clip" horzOverflow="clip"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1D6EC5A-C41D-49A3-AE97-AEDE80E1959B}" type="TxLink">
            <a:rPr lang="en-US" sz="1400" b="1" i="0" u="none" strike="noStrike">
              <a:ln>
                <a:noFill/>
              </a:ln>
              <a:solidFill>
                <a:srgbClr val="000000"/>
              </a:solidFill>
              <a:effectLst/>
              <a:latin typeface="+mn-lt"/>
            </a:rPr>
            <a:pPr algn="l"/>
            <a:t>Joint Annual Premium</a:t>
          </a:fld>
          <a:endParaRPr lang="en-US" sz="1400" b="1">
            <a:ln>
              <a:noFill/>
            </a:ln>
            <a:solidFill>
              <a:schemeClr val="tx1">
                <a:lumMod val="65000"/>
                <a:lumOff val="35000"/>
              </a:schemeClr>
            </a:solidFill>
            <a:effectLst/>
            <a:latin typeface="+mn-lt"/>
          </a:endParaRPr>
        </a:p>
      </cdr:txBody>
    </cdr:sp>
  </cdr:relSizeAnchor>
  <cdr:relSizeAnchor xmlns:cdr="http://schemas.openxmlformats.org/drawingml/2006/chartDrawing">
    <cdr:from>
      <cdr:x>0.01843</cdr:x>
      <cdr:y>0.09093</cdr:y>
    </cdr:from>
    <cdr:to>
      <cdr:x>0.15858</cdr:x>
      <cdr:y>0.16231</cdr:y>
    </cdr:to>
    <cdr:sp macro="" textlink="Premium!$D$30">
      <cdr:nvSpPr>
        <cdr:cNvPr id="7" name="Rounded Rectangle 6">
          <a:extLst xmlns:a="http://schemas.openxmlformats.org/drawingml/2006/main">
            <a:ext uri="{FF2B5EF4-FFF2-40B4-BE49-F238E27FC236}">
              <a16:creationId xmlns:a16="http://schemas.microsoft.com/office/drawing/2014/main" id="{01F51144-1521-47D8-BD5E-F4FA91687EFC}"/>
            </a:ext>
          </a:extLst>
        </cdr:cNvPr>
        <cdr:cNvSpPr/>
      </cdr:nvSpPr>
      <cdr:spPr>
        <a:xfrm xmlns:a="http://schemas.openxmlformats.org/drawingml/2006/main">
          <a:off x="153953" y="394725"/>
          <a:ext cx="1170701" cy="30985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none" lIns="0" tIns="0" rIns="0" bIns="0" anchor="t"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fld id="{C18614A8-4C3A-4FCA-9EE1-C2D770CD835E}" type="TxLink">
            <a:rPr lang="en-US" sz="1800" b="1" i="0" u="none" strike="noStrike" cap="none" spc="0">
              <a:ln w="0">
                <a:noFill/>
              </a:ln>
              <a:solidFill>
                <a:srgbClr val="003F5F"/>
              </a:solidFill>
              <a:effectLst/>
              <a:latin typeface="+mn-lt"/>
            </a:rPr>
            <a:pPr algn="l"/>
            <a:t>$3,243 </a:t>
          </a:fld>
          <a:endParaRPr lang="en-US" sz="1800" b="1" cap="none" spc="0">
            <a:ln w="0">
              <a:noFill/>
            </a:ln>
            <a:solidFill>
              <a:srgbClr val="003F5F"/>
            </a:solidFill>
            <a:effectLst/>
            <a:latin typeface="+mn-lt"/>
          </a:endParaRPr>
        </a:p>
      </cdr:txBody>
    </cdr:sp>
  </cdr:relSizeAnchor>
  <cdr:relSizeAnchor xmlns:cdr="http://schemas.openxmlformats.org/drawingml/2006/chartDrawing">
    <cdr:from>
      <cdr:x>0.22336</cdr:x>
      <cdr:y>0.91136</cdr:y>
    </cdr:from>
    <cdr:to>
      <cdr:x>0.3931</cdr:x>
      <cdr:y>0.98093</cdr:y>
    </cdr:to>
    <cdr:sp macro="" textlink="'Premiums Rates'!$AL$15">
      <cdr:nvSpPr>
        <cdr:cNvPr id="17" name="Rounded Rectangle 16">
          <a:extLst xmlns:a="http://schemas.openxmlformats.org/drawingml/2006/main">
            <a:ext uri="{FF2B5EF4-FFF2-40B4-BE49-F238E27FC236}">
              <a16:creationId xmlns:a16="http://schemas.microsoft.com/office/drawing/2014/main" id="{A3B75C59-3F34-40EF-9803-E7061D93F174}"/>
            </a:ext>
          </a:extLst>
        </cdr:cNvPr>
        <cdr:cNvSpPr/>
      </cdr:nvSpPr>
      <cdr:spPr>
        <a:xfrm xmlns:a="http://schemas.openxmlformats.org/drawingml/2006/main">
          <a:off x="1877592" y="3920541"/>
          <a:ext cx="1426861" cy="29928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45720" tIns="0" rIns="45720" bIns="0" anchor="b"/>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fld id="{86E62542-2639-443C-8A01-35BCD19C4142}" type="TxLink">
            <a:rPr lang="en-US" sz="1600" b="1" i="0" u="none" strike="noStrike" cap="none" spc="0">
              <a:ln w="0">
                <a:noFill/>
              </a:ln>
              <a:solidFill>
                <a:srgbClr val="003F5F"/>
              </a:solidFill>
              <a:effectLst/>
              <a:latin typeface="+mn-lt"/>
            </a:rPr>
            <a:pPr algn="l"/>
            <a:t> </a:t>
          </a:fld>
          <a:endParaRPr lang="en-US" sz="1600" b="1" cap="none" spc="0">
            <a:ln w="0">
              <a:noFill/>
            </a:ln>
            <a:solidFill>
              <a:srgbClr val="003F5F"/>
            </a:solidFill>
            <a:effectLst/>
            <a:latin typeface="+mn-lt"/>
          </a:endParaRPr>
        </a:p>
      </cdr:txBody>
    </cdr:sp>
  </cdr:relSizeAnchor>
  <cdr:relSizeAnchor xmlns:cdr="http://schemas.openxmlformats.org/drawingml/2006/chartDrawing">
    <cdr:from>
      <cdr:x>0.56164</cdr:x>
      <cdr:y>0.91489</cdr:y>
    </cdr:from>
    <cdr:to>
      <cdr:x>0.74749</cdr:x>
      <cdr:y>0.9793</cdr:y>
    </cdr:to>
    <cdr:sp macro="" textlink="'Premiums Rates'!$AL$16">
      <cdr:nvSpPr>
        <cdr:cNvPr id="19" name="Rounded Rectangle 18">
          <a:extLst xmlns:a="http://schemas.openxmlformats.org/drawingml/2006/main">
            <a:ext uri="{FF2B5EF4-FFF2-40B4-BE49-F238E27FC236}">
              <a16:creationId xmlns:a16="http://schemas.microsoft.com/office/drawing/2014/main" id="{0B787E3D-643E-4D22-9C84-2BACED8966A9}"/>
            </a:ext>
          </a:extLst>
        </cdr:cNvPr>
        <cdr:cNvSpPr/>
      </cdr:nvSpPr>
      <cdr:spPr>
        <a:xfrm xmlns:a="http://schemas.openxmlformats.org/drawingml/2006/main">
          <a:off x="4721202" y="3935731"/>
          <a:ext cx="1562284" cy="27709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lIns="45720" tIns="0" rIns="45720" bIns="0" anchor="b">
          <a:sp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fld id="{9F345E48-09C2-4155-9C13-C416C6EC5B8F}" type="TxLink">
            <a:rPr lang="en-US" sz="1600" b="1" i="0" u="none" strike="noStrike" cap="none" spc="0">
              <a:ln w="0">
                <a:noFill/>
              </a:ln>
              <a:solidFill>
                <a:srgbClr val="003F5F"/>
              </a:solidFill>
              <a:effectLst/>
              <a:latin typeface="+mn-lt"/>
            </a:rPr>
            <a:pPr algn="l"/>
            <a:t> </a:t>
          </a:fld>
          <a:endParaRPr lang="en-US" sz="1600" b="1" cap="none" spc="0">
            <a:ln w="0">
              <a:noFill/>
            </a:ln>
            <a:solidFill>
              <a:srgbClr val="003F5F"/>
            </a:solidFill>
            <a:effectLst/>
            <a:latin typeface="+mn-lt"/>
          </a:endParaRPr>
        </a:p>
      </cdr:txBody>
    </cdr:sp>
  </cdr:relSizeAnchor>
  <cdr:relSizeAnchor xmlns:cdr="http://schemas.openxmlformats.org/drawingml/2006/chartDrawing">
    <cdr:from>
      <cdr:x>0.02191</cdr:x>
      <cdr:y>0.89578</cdr:y>
    </cdr:from>
    <cdr:to>
      <cdr:x>0.229</cdr:x>
      <cdr:y>0.99265</cdr:y>
    </cdr:to>
    <cdr:sp macro="" textlink="'Premiums Rates'!$J$89">
      <cdr:nvSpPr>
        <cdr:cNvPr id="11" name="Rounded Rectangle 10">
          <a:extLst xmlns:a="http://schemas.openxmlformats.org/drawingml/2006/main">
            <a:ext uri="{FF2B5EF4-FFF2-40B4-BE49-F238E27FC236}">
              <a16:creationId xmlns:a16="http://schemas.microsoft.com/office/drawing/2014/main" id="{B25E654B-B1F4-45AD-A517-8D5C1443AFAE}"/>
            </a:ext>
          </a:extLst>
        </cdr:cNvPr>
        <cdr:cNvSpPr/>
      </cdr:nvSpPr>
      <cdr:spPr>
        <a:xfrm xmlns:a="http://schemas.openxmlformats.org/drawingml/2006/main">
          <a:off x="183698" y="3853518"/>
          <a:ext cx="1736416" cy="41672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lIns="45720" tIns="0" rIns="45720" bIns="0" anchor="ctr">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9F380591-E0AE-4341-968E-DC661BD9004F}" type="TxLink">
            <a:rPr lang="en-US" sz="1200" b="1" i="0" u="none" strike="noStrike" cap="none" spc="0">
              <a:ln w="0">
                <a:noFill/>
              </a:ln>
              <a:solidFill>
                <a:sysClr val="windowText" lastClr="000000"/>
              </a:solidFill>
              <a:effectLst/>
              <a:latin typeface="+mn-lt"/>
            </a:rPr>
            <a:pPr algn="ctr"/>
            <a:t> </a:t>
          </a:fld>
          <a:endParaRPr lang="en-US" sz="1200" b="1" cap="none" spc="0">
            <a:ln w="0">
              <a:noFill/>
            </a:ln>
            <a:solidFill>
              <a:sysClr val="windowText" lastClr="000000"/>
            </a:solidFill>
            <a:effectLst/>
            <a:latin typeface="+mn-lt"/>
          </a:endParaRPr>
        </a:p>
      </cdr:txBody>
    </cdr:sp>
  </cdr:relSizeAnchor>
  <cdr:relSizeAnchor xmlns:cdr="http://schemas.openxmlformats.org/drawingml/2006/chartDrawing">
    <cdr:from>
      <cdr:x>0.19396</cdr:x>
      <cdr:y>0.37023</cdr:y>
    </cdr:from>
    <cdr:to>
      <cdr:x>0.3492</cdr:x>
      <cdr:y>0.43464</cdr:y>
    </cdr:to>
    <cdr:sp macro="" textlink="'Premiums Rates'!$AL$14">
      <cdr:nvSpPr>
        <cdr:cNvPr id="13" name="Rounded Rectangle 1">
          <a:extLst xmlns:a="http://schemas.openxmlformats.org/drawingml/2006/main">
            <a:ext uri="{FF2B5EF4-FFF2-40B4-BE49-F238E27FC236}">
              <a16:creationId xmlns:a16="http://schemas.microsoft.com/office/drawing/2014/main" id="{988DF747-509B-4C66-AFE4-A616FB376A90}"/>
            </a:ext>
          </a:extLst>
        </cdr:cNvPr>
        <cdr:cNvSpPr/>
      </cdr:nvSpPr>
      <cdr:spPr>
        <a:xfrm xmlns:a="http://schemas.openxmlformats.org/drawingml/2006/main">
          <a:off x="1630457" y="1592677"/>
          <a:ext cx="1304972" cy="277097"/>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glow rad="127000">
            <a:schemeClr val="accent1"/>
          </a:glow>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lIns="0" tIns="0" rIns="0" bIns="0" anchor="t" anchorCtr="0">
          <a:sp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ED89EF26-3E9E-47C6-BE09-B83C170701DD}" type="TxLink">
            <a:rPr lang="en-US" sz="1600" b="1" i="0" u="none" strike="noStrike" cap="none" spc="0">
              <a:ln w="0">
                <a:noFill/>
              </a:ln>
              <a:solidFill>
                <a:schemeClr val="tx1"/>
              </a:solidFill>
              <a:effectLst/>
              <a:latin typeface="+mn-lt"/>
            </a:rPr>
            <a:pPr algn="ctr"/>
            <a:t>$1,922,762</a:t>
          </a:fld>
          <a:endParaRPr lang="en-US" sz="1600" b="1" cap="none" spc="0">
            <a:ln w="0">
              <a:noFill/>
            </a:ln>
            <a:solidFill>
              <a:schemeClr val="tx1"/>
            </a:solidFill>
            <a:effectLst/>
            <a:latin typeface="+mn-lt"/>
          </a:endParaRPr>
        </a:p>
      </cdr:txBody>
    </cdr:sp>
  </cdr:relSizeAnchor>
  <cdr:relSizeAnchor xmlns:cdr="http://schemas.openxmlformats.org/drawingml/2006/chartDrawing">
    <cdr:from>
      <cdr:x>0.16194</cdr:x>
      <cdr:y>0.28184</cdr:y>
    </cdr:from>
    <cdr:to>
      <cdr:x>0.37713</cdr:x>
      <cdr:y>0.37023</cdr:y>
    </cdr:to>
    <cdr:sp macro="" textlink="">
      <cdr:nvSpPr>
        <cdr:cNvPr id="14" name="TextBox 1">
          <a:extLst xmlns:a="http://schemas.openxmlformats.org/drawingml/2006/main">
            <a:ext uri="{FF2B5EF4-FFF2-40B4-BE49-F238E27FC236}">
              <a16:creationId xmlns:a16="http://schemas.microsoft.com/office/drawing/2014/main" id="{CA92EAE0-817E-4FE4-AB8A-91A772E78503}"/>
            </a:ext>
          </a:extLst>
        </cdr:cNvPr>
        <cdr:cNvSpPr txBox="1"/>
      </cdr:nvSpPr>
      <cdr:spPr>
        <a:xfrm xmlns:a="http://schemas.openxmlformats.org/drawingml/2006/main">
          <a:off x="1352712" y="1223478"/>
          <a:ext cx="1797574" cy="38369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baseline="0">
              <a:ln>
                <a:noFill/>
              </a:ln>
              <a:solidFill>
                <a:schemeClr val="tx1"/>
              </a:solidFill>
              <a:effectLst/>
              <a:latin typeface="+mn-lt"/>
            </a:rPr>
            <a:t>REIMBURSEMENT</a:t>
          </a:r>
        </a:p>
        <a:p xmlns:a="http://schemas.openxmlformats.org/drawingml/2006/main">
          <a:pPr algn="ctr"/>
          <a:r>
            <a:rPr lang="en-US" sz="1200" b="0" baseline="0">
              <a:ln>
                <a:noFill/>
              </a:ln>
              <a:solidFill>
                <a:schemeClr val="tx1"/>
              </a:solidFill>
              <a:effectLst/>
              <a:latin typeface="+mn-lt"/>
            </a:rPr>
            <a:t>Up To Max Benefits Payable</a:t>
          </a:r>
          <a:endParaRPr lang="en-US" sz="1200" b="0">
            <a:ln>
              <a:noFill/>
            </a:ln>
            <a:solidFill>
              <a:schemeClr val="tx1"/>
            </a:solidFill>
            <a:effectLst/>
            <a:latin typeface="+mn-lt"/>
          </a:endParaRPr>
        </a:p>
      </cdr:txBody>
    </cdr:sp>
  </cdr:relSizeAnchor>
  <cdr:relSizeAnchor xmlns:cdr="http://schemas.openxmlformats.org/drawingml/2006/chartDrawing">
    <cdr:from>
      <cdr:x>0.29566</cdr:x>
      <cdr:y>0.07048</cdr:y>
    </cdr:from>
    <cdr:to>
      <cdr:x>0.7444</cdr:x>
      <cdr:y>0.17092</cdr:y>
    </cdr:to>
    <cdr:sp macro="" textlink="'Premiums Rates'!$I$88">
      <cdr:nvSpPr>
        <cdr:cNvPr id="39" name="Rounded Rectangle 6">
          <a:extLst xmlns:a="http://schemas.openxmlformats.org/drawingml/2006/main">
            <a:ext uri="{FF2B5EF4-FFF2-40B4-BE49-F238E27FC236}">
              <a16:creationId xmlns:a16="http://schemas.microsoft.com/office/drawing/2014/main" id="{ED5E4D9E-D0C5-42EC-A7F7-34C5E819167B}"/>
            </a:ext>
          </a:extLst>
        </cdr:cNvPr>
        <cdr:cNvSpPr/>
      </cdr:nvSpPr>
      <cdr:spPr>
        <a:xfrm xmlns:a="http://schemas.openxmlformats.org/drawingml/2006/main">
          <a:off x="2479017" y="303195"/>
          <a:ext cx="3762580" cy="43207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nchor="t"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CC4CD6DC-5EBE-49BD-883D-0E39BEF023F3}" type="TxLink">
            <a:rPr lang="en-US" sz="1200" b="1" i="0" u="none" strike="noStrike" cap="all" spc="0" baseline="0">
              <a:ln w="0">
                <a:noFill/>
              </a:ln>
              <a:solidFill>
                <a:srgbClr val="003F5F"/>
              </a:solidFill>
              <a:effectLst/>
              <a:latin typeface="+mn-lt"/>
            </a:rPr>
            <a:pPr algn="ctr"/>
            <a:t>Joint Issue Age 55,  Projected Claim Age 80</a:t>
          </a:fld>
          <a:endParaRPr lang="en-US" sz="1200" b="1" cap="all" spc="0" baseline="0">
            <a:ln w="0">
              <a:noFill/>
            </a:ln>
            <a:solidFill>
              <a:srgbClr val="003F5F"/>
            </a:solidFill>
            <a:effectLst/>
            <a:latin typeface="+mn-lt"/>
          </a:endParaRPr>
        </a:p>
      </cdr:txBody>
    </cdr:sp>
  </cdr:relSizeAnchor>
  <cdr:relSizeAnchor xmlns:cdr="http://schemas.openxmlformats.org/drawingml/2006/chartDrawing">
    <cdr:from>
      <cdr:x>0.3672</cdr:x>
      <cdr:y>0.89301</cdr:y>
    </cdr:from>
    <cdr:to>
      <cdr:x>0.56378</cdr:x>
      <cdr:y>1</cdr:y>
    </cdr:to>
    <cdr:sp macro="" textlink="'Premiums Rates'!$J$90">
      <cdr:nvSpPr>
        <cdr:cNvPr id="15" name="Rounded Rectangle 10">
          <a:extLst xmlns:a="http://schemas.openxmlformats.org/drawingml/2006/main">
            <a:ext uri="{FF2B5EF4-FFF2-40B4-BE49-F238E27FC236}">
              <a16:creationId xmlns:a16="http://schemas.microsoft.com/office/drawing/2014/main" id="{06DCC9F2-9A54-4D24-8291-D5B1A349C2CC}"/>
            </a:ext>
          </a:extLst>
        </cdr:cNvPr>
        <cdr:cNvSpPr/>
      </cdr:nvSpPr>
      <cdr:spPr>
        <a:xfrm xmlns:a="http://schemas.openxmlformats.org/drawingml/2006/main">
          <a:off x="3078887" y="3841602"/>
          <a:ext cx="1648236" cy="46025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lIns="45720" tIns="0" rIns="45720" bIns="0" anchor="ctr">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42914C37-861F-4544-ACE0-BBBA2147A72C}" type="TxLink">
            <a:rPr lang="en-US" sz="1200" b="1" i="0" u="none" strike="noStrike" cap="none" spc="0">
              <a:ln w="0">
                <a:noFill/>
              </a:ln>
              <a:solidFill>
                <a:sysClr val="windowText" lastClr="000000"/>
              </a:solidFill>
              <a:effectLst/>
              <a:latin typeface="+mn-lt"/>
            </a:rPr>
            <a:pPr algn="ctr"/>
            <a:t> </a:t>
          </a:fld>
          <a:endParaRPr lang="en-US" sz="1200" b="1" cap="none" spc="0">
            <a:ln w="0">
              <a:noFill/>
            </a:ln>
            <a:solidFill>
              <a:sysClr val="windowText" lastClr="000000"/>
            </a:solidFill>
            <a:effectLst/>
            <a:latin typeface="+mn-lt"/>
          </a:endParaRPr>
        </a:p>
      </cdr:txBody>
    </cdr:sp>
  </cdr:relSizeAnchor>
  <cdr:relSizeAnchor xmlns:cdr="http://schemas.openxmlformats.org/drawingml/2006/chartDrawing">
    <cdr:from>
      <cdr:x>0.81313</cdr:x>
      <cdr:y>0.09093</cdr:y>
    </cdr:from>
    <cdr:to>
      <cdr:x>0.97785</cdr:x>
      <cdr:y>0.16337</cdr:y>
    </cdr:to>
    <cdr:sp macro="" textlink="'Premiums Rates'!$I$91">
      <cdr:nvSpPr>
        <cdr:cNvPr id="16" name="Rounded Rectangle 16">
          <a:extLst xmlns:a="http://schemas.openxmlformats.org/drawingml/2006/main">
            <a:ext uri="{FF2B5EF4-FFF2-40B4-BE49-F238E27FC236}">
              <a16:creationId xmlns:a16="http://schemas.microsoft.com/office/drawing/2014/main" id="{5F7A8D51-10C0-46EB-AFA1-0F5675EF89F6}"/>
            </a:ext>
          </a:extLst>
        </cdr:cNvPr>
        <cdr:cNvSpPr/>
      </cdr:nvSpPr>
      <cdr:spPr>
        <a:xfrm xmlns:a="http://schemas.openxmlformats.org/drawingml/2006/main">
          <a:off x="6817869" y="391385"/>
          <a:ext cx="1381131" cy="3117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lIns="0" tIns="0" rIns="0" bIns="0" anchor="t" anchorCtr="0">
          <a:sp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fld id="{FF52C3EF-E5F6-479F-9566-A8A0DD11888B}" type="TxLink">
            <a:rPr lang="en-US" sz="1800" b="1" i="0" u="none" strike="noStrike" cap="none" spc="0">
              <a:ln w="0">
                <a:noFill/>
              </a:ln>
              <a:solidFill>
                <a:srgbClr val="003F5F"/>
              </a:solidFill>
              <a:effectLst/>
              <a:latin typeface="+mn-lt"/>
            </a:rPr>
            <a:pPr algn="r"/>
            <a:t> $314 </a:t>
          </a:fld>
          <a:endParaRPr lang="en-US" sz="1800" b="1" cap="none" spc="0">
            <a:ln w="0">
              <a:noFill/>
            </a:ln>
            <a:solidFill>
              <a:srgbClr val="003F5F"/>
            </a:solidFill>
            <a:effectLst/>
            <a:latin typeface="+mn-lt"/>
          </a:endParaRPr>
        </a:p>
      </cdr:txBody>
    </cdr:sp>
  </cdr:relSizeAnchor>
  <cdr:relSizeAnchor xmlns:cdr="http://schemas.openxmlformats.org/drawingml/2006/chartDrawing">
    <cdr:from>
      <cdr:x>0.78787</cdr:x>
      <cdr:y>0.04052</cdr:y>
    </cdr:from>
    <cdr:to>
      <cdr:x>0.97728</cdr:x>
      <cdr:y>0.09516</cdr:y>
    </cdr:to>
    <cdr:sp macro="" textlink="'Premiums Rates'!$J$91">
      <cdr:nvSpPr>
        <cdr:cNvPr id="20" name="Rounded Rectangle 10">
          <a:extLst xmlns:a="http://schemas.openxmlformats.org/drawingml/2006/main">
            <a:ext uri="{FF2B5EF4-FFF2-40B4-BE49-F238E27FC236}">
              <a16:creationId xmlns:a16="http://schemas.microsoft.com/office/drawing/2014/main" id="{F9EBD40B-AAFC-4A44-9CD3-7BC2AC24DB18}"/>
            </a:ext>
          </a:extLst>
        </cdr:cNvPr>
        <cdr:cNvSpPr/>
      </cdr:nvSpPr>
      <cdr:spPr>
        <a:xfrm xmlns:a="http://schemas.openxmlformats.org/drawingml/2006/main">
          <a:off x="6606072" y="174005"/>
          <a:ext cx="1588150" cy="2346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nchor="t"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fld id="{CF91219F-D7F8-4D7C-A48A-8C46A49C934A}" type="TxLink">
            <a:rPr lang="en-US" sz="1400" b="1" i="0" u="none" strike="noStrike" cap="none" spc="0">
              <a:ln w="0">
                <a:noFill/>
              </a:ln>
              <a:solidFill>
                <a:sysClr val="windowText" lastClr="000000"/>
              </a:solidFill>
              <a:effectLst/>
              <a:latin typeface="+mn-lt"/>
            </a:rPr>
            <a:pPr algn="r"/>
            <a:t>Daily Benefit at 80</a:t>
          </a:fld>
          <a:endParaRPr lang="en-US" sz="1400" b="1" cap="none" spc="0">
            <a:ln w="0">
              <a:noFill/>
            </a:ln>
            <a:solidFill>
              <a:sysClr val="windowText" lastClr="000000"/>
            </a:solidFill>
            <a:effectLst/>
            <a:latin typeface="+mn-lt"/>
          </a:endParaRPr>
        </a:p>
      </cdr:txBody>
    </cdr:sp>
  </cdr:relSizeAnchor>
  <cdr:relSizeAnchor xmlns:cdr="http://schemas.openxmlformats.org/drawingml/2006/chartDrawing">
    <cdr:from>
      <cdr:x>0.01793</cdr:x>
      <cdr:y>0.16871</cdr:y>
    </cdr:from>
    <cdr:to>
      <cdr:x>0.98921</cdr:x>
      <cdr:y>0.16871</cdr:y>
    </cdr:to>
    <cdr:cxnSp macro="">
      <cdr:nvCxnSpPr>
        <cdr:cNvPr id="6" name="Straight Connector 5">
          <a:extLst xmlns:a="http://schemas.openxmlformats.org/drawingml/2006/main">
            <a:ext uri="{FF2B5EF4-FFF2-40B4-BE49-F238E27FC236}">
              <a16:creationId xmlns:a16="http://schemas.microsoft.com/office/drawing/2014/main" id="{FD5E883C-4A76-41FA-BE50-FA350963840E}"/>
            </a:ext>
          </a:extLst>
        </cdr:cNvPr>
        <cdr:cNvCxnSpPr/>
      </cdr:nvCxnSpPr>
      <cdr:spPr>
        <a:xfrm xmlns:a="http://schemas.openxmlformats.org/drawingml/2006/main">
          <a:off x="150359" y="724540"/>
          <a:ext cx="8143875" cy="0"/>
        </a:xfrm>
        <a:prstGeom xmlns:a="http://schemas.openxmlformats.org/drawingml/2006/main" prst="line">
          <a:avLst/>
        </a:prstGeom>
        <a:ln xmlns:a="http://schemas.openxmlformats.org/drawingml/2006/main" w="38100">
          <a:solidFill>
            <a:srgbClr val="003F5F"/>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0.36491</cdr:x>
      <cdr:y>0.9318</cdr:y>
    </cdr:from>
    <cdr:to>
      <cdr:x>0.36494</cdr:x>
      <cdr:y>0.9773</cdr:y>
    </cdr:to>
    <cdr:cxnSp macro="">
      <cdr:nvCxnSpPr>
        <cdr:cNvPr id="8" name="Straight Connector 7">
          <a:extLst xmlns:a="http://schemas.openxmlformats.org/drawingml/2006/main">
            <a:ext uri="{FF2B5EF4-FFF2-40B4-BE49-F238E27FC236}">
              <a16:creationId xmlns:a16="http://schemas.microsoft.com/office/drawing/2014/main" id="{193F745B-24F8-423F-A12F-B88181BD9E3F}"/>
            </a:ext>
          </a:extLst>
        </cdr:cNvPr>
        <cdr:cNvCxnSpPr/>
      </cdr:nvCxnSpPr>
      <cdr:spPr>
        <a:xfrm xmlns:a="http://schemas.openxmlformats.org/drawingml/2006/main" flipH="1">
          <a:off x="3060523" y="4010979"/>
          <a:ext cx="264" cy="195862"/>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siness%20Development\Marketing\Product%20Marketing\Premium%20Calculator\NGL%20EssentialLTC%20Premium%20Calculator%20with%20Benefits%20Ratio%203.05%20(with%20F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um"/>
      <sheetName val="Chart Calculations"/>
      <sheetName val="Projections"/>
      <sheetName val="Commissions"/>
      <sheetName val="Deduction Chart"/>
      <sheetName val="Premiums Rates"/>
      <sheetName val="Error Handling"/>
      <sheetName val="Glossary"/>
      <sheetName val="Version"/>
      <sheetName val="Tables"/>
    </sheetNames>
    <sheetDataSet>
      <sheetData sheetId="0">
        <row r="5">
          <cell r="C5" t="str">
            <v>MA</v>
          </cell>
        </row>
        <row r="24">
          <cell r="C24" t="str">
            <v>No</v>
          </cell>
        </row>
      </sheetData>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I100:J104" totalsRowShown="0" headerRowDxfId="13" dataDxfId="12" headerRowCellStyle="Normal 3" dataCellStyle="Normal 3">
  <autoFilter ref="I100:J104" xr:uid="{00000000-0009-0000-0100-000001000000}"/>
  <tableColumns count="2">
    <tableColumn id="1" xr3:uid="{00000000-0010-0000-0000-000001000000}" name="NJ Only" dataDxfId="11" dataCellStyle="Normal 3"/>
    <tableColumn id="2" xr3:uid="{00000000-0010-0000-0000-000002000000}" name="Not NJ" dataDxfId="10" dataCellStyle="Normal 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I108:L115" totalsRowShown="0" headerRowDxfId="9" dataDxfId="8" headerRowCellStyle="Normal 3" dataCellStyle="Normal 3">
  <autoFilter ref="I108:L115" xr:uid="{00000000-0009-0000-0100-000002000000}"/>
  <tableColumns count="4">
    <tableColumn id="1" xr3:uid="{00000000-0010-0000-0100-000001000000}" name="Joint NJ Only" dataDxfId="7" dataCellStyle="Normal 3"/>
    <tableColumn id="2" xr3:uid="{00000000-0010-0000-0100-000002000000}" name="Single NJ Only" dataDxfId="6" dataCellStyle="Normal 3"/>
    <tableColumn id="3" xr3:uid="{00000000-0010-0000-0100-000003000000}" name="Joint Not NJ" dataDxfId="5" dataCellStyle="Normal 3"/>
    <tableColumn id="4" xr3:uid="{00000000-0010-0000-0100-000004000000}" name="Single Not NJ" dataDxfId="4" dataCellStyle="Normal 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R62:S109" totalsRowShown="0" headerRowDxfId="3" dataDxfId="2" headerRowCellStyle="Normal 3" dataCellStyle="Normal 3">
  <autoFilter ref="R62:S109" xr:uid="{00000000-0009-0000-0100-000003000000}"/>
  <tableColumns count="2">
    <tableColumn id="1" xr3:uid="{00000000-0010-0000-0200-000001000000}" name="State" dataDxfId="1" dataCellStyle="Normal 3"/>
    <tableColumn id="2" xr3:uid="{00000000-0010-0000-0200-000002000000}" name="Monthly Modal Factor" dataDxfId="0" dataCellStyle="Normal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O116"/>
  <sheetViews>
    <sheetView showGridLines="0" showRowColHeaders="0" tabSelected="1" zoomScale="110" zoomScaleNormal="110" workbookViewId="0">
      <pane ySplit="5" topLeftCell="A6" activePane="bottomLeft" state="frozen"/>
      <selection pane="bottomLeft" activeCell="C13" sqref="C13"/>
    </sheetView>
  </sheetViews>
  <sheetFormatPr defaultRowHeight="15"/>
  <cols>
    <col min="1" max="1" width="1.7109375" style="211" customWidth="1"/>
    <col min="2" max="2" width="26.7109375" style="211" customWidth="1"/>
    <col min="3" max="3" width="14.5703125" style="211" customWidth="1"/>
    <col min="4" max="4" width="15" style="211" customWidth="1"/>
    <col min="5" max="5" width="1.42578125" style="211" customWidth="1"/>
    <col min="6" max="6" width="29.140625" style="210" customWidth="1"/>
    <col min="7" max="7" width="11.5703125" style="210" customWidth="1"/>
    <col min="8" max="8" width="2.7109375" style="210" customWidth="1"/>
    <col min="9" max="12" width="13.85546875" style="210" customWidth="1"/>
    <col min="13" max="13" width="15.85546875" style="210" customWidth="1"/>
    <col min="14" max="14" width="11.85546875" style="210" customWidth="1"/>
    <col min="15" max="15" width="2.85546875" style="210" customWidth="1"/>
    <col min="16" max="16" width="27.28515625" style="241" customWidth="1"/>
    <col min="17" max="17" width="10.28515625" style="210" customWidth="1"/>
    <col min="18" max="41" width="9.140625" style="210"/>
    <col min="42" max="16384" width="9.140625" style="211"/>
  </cols>
  <sheetData>
    <row r="2" spans="2:41" s="207" customFormat="1" ht="38.25" customHeight="1">
      <c r="B2" s="496" t="s">
        <v>239</v>
      </c>
      <c r="C2" s="497"/>
      <c r="D2" s="497"/>
      <c r="E2" s="497"/>
      <c r="F2" s="497"/>
      <c r="G2" s="497"/>
      <c r="H2" s="497"/>
      <c r="I2" s="497"/>
      <c r="J2" s="497"/>
      <c r="K2" s="497"/>
      <c r="L2" s="497"/>
      <c r="M2" s="497"/>
      <c r="N2" s="497"/>
      <c r="O2" s="497"/>
      <c r="P2" s="497"/>
      <c r="Q2" s="497"/>
    </row>
    <row r="3" spans="2:41" s="207" customFormat="1" ht="10.5" customHeight="1">
      <c r="B3" s="486"/>
      <c r="C3" s="487"/>
      <c r="D3" s="487"/>
      <c r="E3" s="487"/>
      <c r="F3" s="487"/>
      <c r="G3" s="487"/>
      <c r="H3" s="487"/>
      <c r="I3" s="487"/>
      <c r="J3" s="487"/>
      <c r="K3" s="487"/>
      <c r="L3" s="487"/>
      <c r="M3" s="487"/>
      <c r="N3" s="487"/>
      <c r="O3" s="487"/>
      <c r="P3" s="487"/>
      <c r="Q3" s="487"/>
    </row>
    <row r="4" spans="2:41" s="209" customFormat="1" ht="16.5" customHeight="1">
      <c r="B4" s="500" t="s">
        <v>246</v>
      </c>
      <c r="C4" s="500"/>
      <c r="D4" s="500"/>
      <c r="E4" s="208"/>
      <c r="F4" s="501"/>
      <c r="G4" s="501"/>
      <c r="H4" s="208"/>
      <c r="I4" s="492" t="s">
        <v>203</v>
      </c>
      <c r="J4" s="492"/>
      <c r="K4" s="274"/>
      <c r="L4" s="274"/>
      <c r="M4" s="274"/>
      <c r="N4" s="274"/>
      <c r="P4" s="238"/>
    </row>
    <row r="5" spans="2:41" s="247" customFormat="1" ht="23.25" customHeight="1">
      <c r="B5" s="248" t="s">
        <v>88</v>
      </c>
      <c r="C5" s="248" t="s">
        <v>90</v>
      </c>
      <c r="D5" s="249" t="s">
        <v>95</v>
      </c>
      <c r="F5" s="491" t="s">
        <v>204</v>
      </c>
      <c r="G5" s="491"/>
      <c r="I5" s="506" t="s">
        <v>442</v>
      </c>
      <c r="J5" s="507"/>
      <c r="K5" s="507"/>
      <c r="L5" s="507"/>
      <c r="M5" s="508"/>
      <c r="N5" s="275"/>
      <c r="P5" s="242" t="s">
        <v>247</v>
      </c>
      <c r="Q5" s="243"/>
    </row>
    <row r="6" spans="2:41" ht="15.75">
      <c r="B6" s="276" t="s">
        <v>91</v>
      </c>
      <c r="C6" s="277"/>
      <c r="D6" s="194"/>
      <c r="E6" s="195"/>
      <c r="F6" s="291" t="s">
        <v>144</v>
      </c>
      <c r="G6" s="291"/>
      <c r="I6" s="494" t="str">
        <f>IF($C$24="Lifetime Pay",$C$25,IF(C24="Single Pay","Single",$C$25&amp;" 10-Pay"))&amp;" Premium"</f>
        <v>Annual Premium</v>
      </c>
      <c r="J6" s="495"/>
      <c r="K6" s="509" t="s">
        <v>443</v>
      </c>
      <c r="L6" s="510"/>
      <c r="M6" s="511"/>
      <c r="N6" s="206"/>
      <c r="P6" s="282"/>
      <c r="Q6" s="205"/>
      <c r="AI6" s="211"/>
      <c r="AJ6" s="211"/>
      <c r="AK6" s="211"/>
      <c r="AL6" s="211"/>
      <c r="AM6" s="211"/>
      <c r="AN6" s="211"/>
      <c r="AO6" s="211"/>
    </row>
    <row r="7" spans="2:41" ht="17.25">
      <c r="B7" s="212" t="s">
        <v>101</v>
      </c>
      <c r="C7" s="213" t="s">
        <v>389</v>
      </c>
      <c r="D7" s="205"/>
      <c r="E7" s="195"/>
      <c r="F7" s="214" t="s">
        <v>240</v>
      </c>
      <c r="G7" s="215">
        <v>80</v>
      </c>
      <c r="H7" s="211"/>
      <c r="I7" s="515">
        <v>0</v>
      </c>
      <c r="J7" s="516"/>
      <c r="K7" s="512"/>
      <c r="L7" s="513"/>
      <c r="M7" s="514"/>
      <c r="P7" s="484" t="str">
        <f>IF(Premium!$I$7=0,"",IF(Premium!$I$7&lt;'Premiums Rates'!$J$96,"Min Premium of $"&amp; TEXT('Premiums Rates'!$J$96,"#,#"),IF(Premium!$I$7&gt;'Premiums Rates'!$J$97,"Max Premium of $"&amp; TEXT('Premiums Rates'!$J$97,"#,#"),"")))</f>
        <v/>
      </c>
      <c r="AK7" s="211"/>
      <c r="AL7" s="211"/>
      <c r="AM7" s="211"/>
      <c r="AN7" s="211"/>
      <c r="AO7" s="211"/>
    </row>
    <row r="8" spans="2:41" ht="15" customHeight="1">
      <c r="B8" s="216" t="s">
        <v>241</v>
      </c>
      <c r="C8" s="213">
        <v>55</v>
      </c>
      <c r="D8" s="217"/>
      <c r="E8" s="195"/>
      <c r="F8" s="214" t="s">
        <v>209</v>
      </c>
      <c r="G8" s="218">
        <v>100</v>
      </c>
      <c r="P8" s="283"/>
      <c r="AK8" s="211"/>
      <c r="AL8" s="211"/>
      <c r="AM8" s="211"/>
      <c r="AN8" s="211"/>
      <c r="AO8" s="211"/>
    </row>
    <row r="9" spans="2:41" ht="15" customHeight="1">
      <c r="B9" s="214" t="s">
        <v>242</v>
      </c>
      <c r="C9" s="213" t="s">
        <v>7</v>
      </c>
      <c r="D9" s="296">
        <f>IF('Premiums Rates'!$A$91,IF(AND('Premiums Rates'!$A$118,'Premiums Rates'!$A$111),ROUND(VLOOKUP($C$8,Premiums,IF(C$10="Comp",1,0)+IF(AND(C$9="Male",C$11&lt;&gt;"Employer Group (Unisex)"),2,IF(OR(C$9="Female",C$11="Employer Group (Unisex)"),4,IF(OR(C$9="Joint",C$9="Individual Plus Additional Insured"),6,0))),0)*IF(AND($C$7="CT",$C$10="Comp"),1.02,1),2),"Error"),"")</f>
        <v>96.44</v>
      </c>
      <c r="E9" s="195"/>
      <c r="F9" s="214"/>
      <c r="G9" s="483"/>
      <c r="I9" s="220"/>
      <c r="P9" s="478" t="str">
        <f>IF('Premiums Rates'!$A$118,"",$C$9&amp;" N/A in "&amp;$C$7)</f>
        <v/>
      </c>
      <c r="AK9" s="211"/>
      <c r="AL9" s="211"/>
      <c r="AM9" s="211"/>
      <c r="AN9" s="211"/>
      <c r="AO9" s="211"/>
    </row>
    <row r="10" spans="2:41" ht="15" customHeight="1">
      <c r="B10" s="214" t="s">
        <v>35</v>
      </c>
      <c r="C10" s="213" t="s">
        <v>251</v>
      </c>
      <c r="D10" s="219"/>
      <c r="F10" s="214"/>
      <c r="I10" s="220"/>
      <c r="J10" s="220"/>
      <c r="K10" s="220"/>
      <c r="L10" s="220"/>
      <c r="M10" s="220"/>
      <c r="N10" s="220"/>
      <c r="O10" s="220"/>
      <c r="P10" s="295" t="str">
        <f>IF('Premiums Rates'!$A$111,"","Fac Only N/A in FL")</f>
        <v/>
      </c>
      <c r="Q10" s="220"/>
      <c r="AO10" s="211"/>
    </row>
    <row r="11" spans="2:41" ht="15" customHeight="1">
      <c r="B11" s="214" t="s">
        <v>38</v>
      </c>
      <c r="C11" s="213" t="s">
        <v>67</v>
      </c>
      <c r="D11" s="474">
        <f ca="1">IF('Premiums Rates'!$A$91,IF(AND('Premiums Rates'!$A$92,'Premiums Rates'!$A$117),IF($C$11="Employer Group (Unisex)",0.9,INDEX('Premiums Rates'!$P$83:$P$88,MATCH(C$11,'Premiums Rates'!$O$83:$O$88,0))),"Error"),"")</f>
        <v>0.8</v>
      </c>
      <c r="F11" s="214"/>
      <c r="I11" s="220"/>
      <c r="J11" s="220"/>
      <c r="K11" s="220"/>
      <c r="L11" s="220"/>
      <c r="M11" s="220"/>
      <c r="N11" s="220"/>
      <c r="O11" s="220"/>
      <c r="P11" s="505" t="str">
        <f ca="1">IF('Premiums Rates'!$A$117,IF('Premiums Rates'!$A$92,"","Employer Group rate N/A in" &amp;" "&amp;$C$7),"Employer Group N/A in "&amp;$C$7)</f>
        <v/>
      </c>
      <c r="Q11" s="220"/>
      <c r="AO11" s="211"/>
    </row>
    <row r="12" spans="2:41" ht="15" customHeight="1">
      <c r="B12" s="498" t="s">
        <v>92</v>
      </c>
      <c r="C12" s="499"/>
      <c r="D12" s="194"/>
      <c r="I12" s="220"/>
      <c r="J12" s="220"/>
      <c r="K12" s="220"/>
      <c r="L12" s="220"/>
      <c r="M12" s="220"/>
      <c r="N12" s="220"/>
      <c r="O12" s="220"/>
      <c r="P12" s="505"/>
      <c r="Q12" s="220"/>
      <c r="AO12" s="211"/>
    </row>
    <row r="13" spans="2:41" ht="15" customHeight="1">
      <c r="B13" s="214" t="s">
        <v>87</v>
      </c>
      <c r="C13" s="213">
        <v>150</v>
      </c>
      <c r="D13" s="293">
        <f>IF('Premiums Rates'!$A$91,IF('Premiums Rates'!$A$94,IF('Premiums Rates'!$A$104,IF('Premiums Rates'!$A$106,'Premiums Rates'!$J$94/10,"Error"),"Error"),"Error"),"")</f>
        <v>15</v>
      </c>
      <c r="I13" s="220"/>
      <c r="P13" s="285" t="str">
        <f>IF('Premiums Rates'!$A$94,IF('Premiums Rates'!$A$104,IF('Premiums Rates'!$A$106,"","Min of 100 for P11SD"),"Min of 80 for VT"),"Min of 60 for WI")</f>
        <v/>
      </c>
      <c r="AO13" s="211"/>
    </row>
    <row r="14" spans="2:41" ht="15" customHeight="1">
      <c r="B14" s="214" t="s">
        <v>37</v>
      </c>
      <c r="C14" s="213" t="s">
        <v>20</v>
      </c>
      <c r="D14" s="293">
        <f>IF(AND('Premiums Rates'!$A$105,'Premiums Rates'!$A$107,'Premiums Rates'!$A$109),INDEX('Premiums Rates'!$F$56:$F$59,MATCH(Premium!C$14,'Premiums Rates'!$E$56:$E$59,0)),"Error")</f>
        <v>1</v>
      </c>
      <c r="I14" s="220"/>
      <c r="P14" s="285" t="str">
        <f>IF('Premiums Rates'!$A$105,IF('Premiums Rates'!$A$107,IF('Premiums Rates'!$A$109,"","N/A in CT"),"N/A in SD"),"N/A in Vermont")</f>
        <v/>
      </c>
      <c r="AO14" s="211"/>
    </row>
    <row r="15" spans="2:41" ht="15" customHeight="1">
      <c r="B15" s="214" t="s">
        <v>89</v>
      </c>
      <c r="C15" s="213" t="s">
        <v>66</v>
      </c>
      <c r="D15" s="293">
        <f>IF('Premiums Rates'!$A$91,IF(OR(C$15="No",C$14="0-Day",C$10="Fac Only"),1,INDEX('Premiums Rates'!$H$70:$H$73,MATCH(C$14,'Premiums Rates'!$G$70:$G$72,0))),"")</f>
        <v>1</v>
      </c>
      <c r="P15" s="285" t="str">
        <f>IF('Premiums Rates'!$A$95,IF('Premiums Rates'!$A$96,"","N/A with Fac Only"),"N/A with 0-Day EP")</f>
        <v/>
      </c>
      <c r="AO15" s="211"/>
    </row>
    <row r="16" spans="2:41" ht="15" customHeight="1">
      <c r="B16" s="214" t="s">
        <v>243</v>
      </c>
      <c r="C16" s="213" t="s">
        <v>449</v>
      </c>
      <c r="D16" s="293">
        <f>IF('Premiums Rates'!$A$91,IF(AND($C$16="Yes",'Premiums Rates'!$A$97,'Premiums Rates'!$A$98,'Premiums Rates'!$A$110),'Premiums Rates'!$H$75,1),"")</f>
        <v>1.02</v>
      </c>
      <c r="P16" s="493" t="str">
        <f>IF('Premiums Rates'!$A$97,IF('Premiums Rates'!$A$98,IF('Premiums Rates'!$A$110,"","Included in base policy for CT"),"N/A with Single Pay"),"N/A with Fac Only")</f>
        <v/>
      </c>
      <c r="AO16" s="211"/>
    </row>
    <row r="17" spans="2:41" ht="15" customHeight="1">
      <c r="B17" s="498" t="s">
        <v>98</v>
      </c>
      <c r="C17" s="499"/>
      <c r="D17" s="194"/>
      <c r="P17" s="493"/>
      <c r="AO17" s="211"/>
    </row>
    <row r="18" spans="2:41" ht="15" customHeight="1">
      <c r="B18" s="214" t="s">
        <v>29</v>
      </c>
      <c r="C18" s="213" t="s">
        <v>58</v>
      </c>
      <c r="D18" s="221">
        <f>IF('Premiums Rates'!$A$91,INDEX('Premiums Rates'!$B$70:$B$75,MATCH(VLOOKUP(C$18,'Premiums Rates'!$O$72:$Q$77,3,0),'Premiums Rates'!$A$70:$A$75,0)),"")</f>
        <v>1.25</v>
      </c>
      <c r="P18" s="493" t="str">
        <f>IF('Premiums Rates'!$A$99,IF('Premiums Rates'!$A$100,"","Shared Benefit N/A with Lifetime Benefit Period"),"Shared Benefit N/A with Single Insured")</f>
        <v/>
      </c>
      <c r="AO18" s="211"/>
    </row>
    <row r="19" spans="2:41" ht="15" customHeight="1">
      <c r="B19" s="214" t="s">
        <v>244</v>
      </c>
      <c r="C19" s="213" t="s">
        <v>449</v>
      </c>
      <c r="D19" s="294">
        <f>IF('Premiums Rates'!$A$91,IF(OR(C$19="No",$C18="Lifetime",AND($C$9&lt;&gt;"Joint",$C$9&lt;&gt;"Individual Plus Additional Insured")),1,INDEX('Premiums Rates'!$E$71:$E$75,MATCH(VLOOKUP(C$18,'Premiums Rates'!$O$72:$Q$77,3,0),'Premiums Rates'!$D$71:$D$75,0))),"")</f>
        <v>1.1100000000000001</v>
      </c>
      <c r="P19" s="493"/>
      <c r="AO19" s="211"/>
    </row>
    <row r="20" spans="2:41" ht="15" customHeight="1">
      <c r="B20" s="498" t="s">
        <v>93</v>
      </c>
      <c r="C20" s="499"/>
      <c r="D20" s="194"/>
      <c r="P20" s="284"/>
      <c r="AO20" s="211"/>
    </row>
    <row r="21" spans="2:41" ht="15" customHeight="1">
      <c r="B21" s="214" t="s">
        <v>1</v>
      </c>
      <c r="C21" s="286">
        <v>0.03</v>
      </c>
      <c r="D21" s="503">
        <f>IF('Premiums Rates'!$A$91,IF(C$21=0,1,IF(AND(C$22="Yes",C$24="Lifetime Pay",$C$7&lt;&gt;"FL"),VLOOKUP($C$8,Premiums,29,0),VLOOKUP($C$8,Premiums,IF(C$24="Lifetime Pay",25,27)+IF(C$21=0.03,1,0),0))),"")</f>
        <v>1.98</v>
      </c>
      <c r="P21" s="493" t="str">
        <f>IF('Premiums Rates'!$A$101,IF('Premiums Rates'!$A$102,IF('Premiums Rates'!$A$112,"","Step-Rated N/A in FL"),"Step-Rated N/A with 0% COLA"),"Step-Rated requires Lifetime Pay")</f>
        <v/>
      </c>
      <c r="AO21" s="211"/>
    </row>
    <row r="22" spans="2:41" ht="15.75" customHeight="1">
      <c r="B22" s="214" t="s">
        <v>245</v>
      </c>
      <c r="C22" s="213" t="s">
        <v>66</v>
      </c>
      <c r="D22" s="504"/>
      <c r="P22" s="493"/>
      <c r="AO22" s="211"/>
    </row>
    <row r="23" spans="2:41" ht="15" customHeight="1">
      <c r="B23" s="498" t="s">
        <v>94</v>
      </c>
      <c r="C23" s="499"/>
      <c r="D23" s="194"/>
      <c r="P23" s="285"/>
      <c r="AO23" s="211"/>
    </row>
    <row r="24" spans="2:41" ht="15" customHeight="1">
      <c r="B24" s="214" t="s">
        <v>55</v>
      </c>
      <c r="C24" s="213" t="s">
        <v>8</v>
      </c>
      <c r="D24" s="221">
        <f>IF('Premiums Rates'!$A$91,IF(AND('Premiums Rates'!$A$113,'Premiums Rates'!$A$115),IF(C$24="Lifetime Pay",1,VLOOKUP($C$8,Premiums,IF(C$24="10-Pay",9,10),0)),"Error"),"")</f>
        <v>1</v>
      </c>
      <c r="P24" s="493" t="str">
        <f>IF('Premiums Rates'!$A$93,IF('Premiums Rates'!$A$113,IF('Premiums Rates'!$A$115,"","Single Pay N/A in NJ"),$C$24&amp;" N/A in FL"),"Single Pay only available with Annual Mode")</f>
        <v/>
      </c>
      <c r="AO24" s="211"/>
    </row>
    <row r="25" spans="2:41" ht="15" customHeight="1">
      <c r="B25" s="214" t="s">
        <v>22</v>
      </c>
      <c r="C25" s="213" t="s">
        <v>23</v>
      </c>
      <c r="D25" s="221">
        <f>IF('Premiums Rates'!$A$91,IF($C$24="Single Pay",IF(C$25&lt;&gt;"Annual","Error",1),VLOOKUP(C$25,'Premiums Rates'!$O$96:$P$99,2,0)),"")</f>
        <v>1</v>
      </c>
      <c r="P25" s="502"/>
      <c r="AO25" s="211"/>
    </row>
    <row r="26" spans="2:41" ht="15" customHeight="1">
      <c r="B26" s="214" t="str">
        <f>IF($C$7="FL","Franchise",IF(OR($C$7="AK",$C$7="AL",$C$7="AR",$C$7="CO",$C$7="GA",$C$7="IA",$C$7="ID",$C$7="IL",$C$7="KS",$C$7="KY",$C$7="LA",$C$7="MA",$C$7="MD",$C$7="ME",$C$7="MI",$C$7="MN",$C$7="MO",$C$7="MS",$C$7="NC",$C$7="NE",$C$7="NH",$C$7="NM",$C$7="NV",$C$7="OH",$C$7="OK",$C$7="OR",$C$7="PA",$C$7="RI",$C$7="SC",$C$7="TN",$C$7="TX",$C$7="UT",$C$7="VA",$C$7="VT",$C$7="WA",$C$7="WI",$C$7="WV",$C$7="WY",$C$7="NJ"),"Association","Employer/Assoc"))</f>
        <v>Association</v>
      </c>
      <c r="C26" s="213" t="s">
        <v>66</v>
      </c>
      <c r="D26" s="221">
        <f>IF('Premiums Rates'!$A$91,IF(OR(C$26="No",C$7="FL",NOT('Premiums Rates'!$A$119)),1,0.95),"")</f>
        <v>1</v>
      </c>
      <c r="P26" s="488" t="str">
        <f>IF('Premiums Rates'!$A$119,"","Association N/A with Employer Group")</f>
        <v/>
      </c>
      <c r="AO26" s="211"/>
    </row>
    <row r="27" spans="2:41" ht="15" customHeight="1">
      <c r="B27" s="498" t="str">
        <f>"Nonforfeiture/"&amp;IF($C$7="ND","Death Benefit","Return of Premium")&amp;" Options"</f>
        <v>Nonforfeiture/Return of Premium Options</v>
      </c>
      <c r="C27" s="499"/>
      <c r="D27" s="194"/>
      <c r="F27" s="222"/>
      <c r="G27" s="223"/>
      <c r="P27" s="284"/>
      <c r="AO27" s="211"/>
    </row>
    <row r="28" spans="2:41" ht="15" customHeight="1">
      <c r="B28" s="214" t="str">
        <f>IF($C$7="ND","Death Benefit","Return of Premium")&amp;" (key below)"</f>
        <v>Return of Premium (key below)</v>
      </c>
      <c r="C28" s="213" t="s">
        <v>136</v>
      </c>
      <c r="D28" s="221">
        <f>IF('Premiums Rates'!$A$91,IF(C$28="None",1,VLOOKUP($C$8,Premiums,12+IF(C$28="FROP",3,IF(C$28="LROPS",6,IF(C$28="FROPS",9,0)))+IF(OR(C$9="Female",C$11="Employer Group (Unisex)"),1,IF(OR(C$9="Joint",C$9="Individual Plus Additional Insured"),2,0)),0)),"")</f>
        <v>1</v>
      </c>
      <c r="F28" s="211"/>
      <c r="G28" s="211"/>
      <c r="P28" s="493" t="str">
        <f>IF('Premiums Rates'!$A$103,IF('Premiums Rates'!$A$114,IF('Premiums Rates'!$A$116,"","Shortened BP N/A in NJ with 10-Pay"),"Shortened BP N/A with Single Pay"),"Shortened BP N/A with Reverse Combo")</f>
        <v/>
      </c>
      <c r="AO28" s="211"/>
    </row>
    <row r="29" spans="2:41" ht="15" customHeight="1">
      <c r="B29" s="214" t="s">
        <v>107</v>
      </c>
      <c r="C29" s="213" t="s">
        <v>66</v>
      </c>
      <c r="D29" s="294">
        <f>IF('Premiums Rates'!$A$91,IF(OR(NOT('Premiums Rates'!A116),C$29="No",C$28&lt;&gt;"None",C$24="Single Pay"),1,'Premiums Rates'!$H$74),"")</f>
        <v>1</v>
      </c>
      <c r="F29" s="222"/>
      <c r="G29" s="223"/>
      <c r="P29" s="493"/>
      <c r="AO29" s="211"/>
    </row>
    <row r="30" spans="2:41" ht="18" customHeight="1">
      <c r="B30" s="287" t="s">
        <v>61</v>
      </c>
      <c r="C30" s="287"/>
      <c r="D30" s="288">
        <f ca="1">IF('Premiums Rates'!$A$91,IF(AND('Premiums Rates'!$A$92,'Premiums Rates'!$A$93,'Premiums Rates'!$A$94,'Premiums Rates'!$A$104,'Premiums Rates'!$A$105,'Premiums Rates'!$A$106,'Premiums Rates'!$A$107,'Premiums Rates'!$A$109,'Premiums Rates'!$A$111,'Premiums Rates'!$A$113,'Premiums Rates'!$A$115,'Premiums Rates'!$A$117,'Premiums Rates'!$A$118),ROUND(PRODUCT(D9:D29),2),"Check Entry"),"")</f>
        <v>3242.92</v>
      </c>
      <c r="F30" s="222"/>
      <c r="G30" s="224"/>
      <c r="P30" s="285"/>
      <c r="AO30" s="211"/>
    </row>
    <row r="31" spans="2:41" ht="14.25" customHeight="1">
      <c r="B31" s="231" t="s">
        <v>264</v>
      </c>
      <c r="C31" s="225"/>
      <c r="D31" s="289" t="str">
        <f ca="1">IF(AND('Premiums Rates'!$A$91,$D$30&lt;&gt;"Check Entry"),IF(AND(C$22="Yes",'Premiums Rates'!$A$101,'Premiums Rates'!$A$102,'Premiums Rates'!$A$112),VLOOKUP($C$8,Premiums,IF(C$21=0.03,31,30))*D$30/D$21,"N/A"),"")</f>
        <v>N/A</v>
      </c>
      <c r="E31" s="227"/>
      <c r="F31" s="211"/>
      <c r="G31" s="228"/>
      <c r="P31" s="284"/>
      <c r="AO31" s="211"/>
    </row>
    <row r="32" spans="2:41">
      <c r="B32" s="214"/>
      <c r="C32" s="225"/>
      <c r="D32" s="226"/>
      <c r="F32" s="290" t="s">
        <v>255</v>
      </c>
      <c r="G32" s="290"/>
      <c r="P32" s="240"/>
    </row>
    <row r="33" spans="1:19" ht="15.75">
      <c r="B33" s="245" t="str">
        <f>IF('Premiums Rates'!$A$108,"Return of Premium","Death Benefit Rider")</f>
        <v>Return of Premium</v>
      </c>
      <c r="C33" s="230"/>
    </row>
    <row r="34" spans="1:19">
      <c r="B34" s="244" t="str">
        <f>"LROP = "&amp;IF('Premiums Rates'!$A$108,"Limited Return of Premium","Limited Death Benefit Rider")&amp;": Return of premium upon death (last-to-die for Joint Policy) with paid claims deducted."</f>
        <v>LROP = Limited Return of Premium: Return of premium upon death (last-to-die for Joint Policy) with paid claims deducted.</v>
      </c>
      <c r="C34" s="230"/>
    </row>
    <row r="35" spans="1:19">
      <c r="B35" s="244" t="str">
        <f>"FROP = "&amp;IF('Premiums Rates'!$A$108,"Full Return of Premium","Full Death Benefit Rider")&amp;": Return of premium upon death (last-to-die for Joint Policy) without paid claims deducted."</f>
        <v>FROP = Full Return of Premium: Return of premium upon death (last-to-die for Joint Policy) without paid claims deducted.</v>
      </c>
      <c r="C35" s="230"/>
    </row>
    <row r="36" spans="1:19">
      <c r="B36" s="244" t="str">
        <f>"LROPS = "&amp;IF('Premiums Rates'!$A$108,"Limited Return of Premium with Optional Surrender Rider","Limited Death Benefit with Optional Policy Surrender Rider")&amp;": LROP + return of 80% of premiums paid (after 4th year) upon surrender with paid claims deducted."</f>
        <v>LROPS = Limited Return of Premium with Optional Surrender Rider: LROP + return of 80% of premiums paid (after 4th year) upon surrender with paid claims deducted.</v>
      </c>
      <c r="C36" s="230"/>
    </row>
    <row r="37" spans="1:19">
      <c r="B37" s="244" t="str">
        <f>"FROPS = "&amp;IF('Premiums Rates'!$A$108,"Full Return of Premium with Optional Surrender Rider","Full Death Benefit with Optional Policy Surrender Rider")&amp;": FROP + return of 80% of premiums paid (after 4th year) upon surrender with paid claims deducted."</f>
        <v>FROPS = Full Return of Premium with Optional Surrender Rider: FROP + return of 80% of premiums paid (after 4th year) upon surrender with paid claims deducted.</v>
      </c>
      <c r="C37" s="231"/>
      <c r="D37" s="232"/>
    </row>
    <row r="38" spans="1:19">
      <c r="B38" s="231"/>
      <c r="C38" s="231"/>
      <c r="D38" s="232"/>
    </row>
    <row r="39" spans="1:19" ht="15.75">
      <c r="B39" s="245" t="s">
        <v>63</v>
      </c>
      <c r="C39" s="233"/>
      <c r="D39" s="232"/>
      <c r="G39" s="245" t="s">
        <v>220</v>
      </c>
    </row>
    <row r="40" spans="1:19">
      <c r="B40" s="244" t="s">
        <v>196</v>
      </c>
      <c r="C40" s="233"/>
      <c r="D40" s="232"/>
      <c r="G40" s="244" t="s">
        <v>214</v>
      </c>
    </row>
    <row r="41" spans="1:19">
      <c r="B41" s="244" t="s">
        <v>96</v>
      </c>
      <c r="C41" s="233"/>
      <c r="D41" s="232"/>
      <c r="G41" s="244" t="s">
        <v>215</v>
      </c>
    </row>
    <row r="42" spans="1:19">
      <c r="B42" s="244" t="s">
        <v>123</v>
      </c>
      <c r="C42" s="233"/>
      <c r="D42" s="232"/>
      <c r="G42" s="244" t="s">
        <v>261</v>
      </c>
    </row>
    <row r="43" spans="1:19">
      <c r="B43" s="244" t="s">
        <v>102</v>
      </c>
      <c r="C43" s="231"/>
      <c r="D43" s="232"/>
      <c r="G43" s="244" t="s">
        <v>262</v>
      </c>
    </row>
    <row r="44" spans="1:19">
      <c r="B44" s="244" t="s">
        <v>197</v>
      </c>
      <c r="C44" s="231"/>
      <c r="D44" s="232"/>
      <c r="G44" s="244" t="s">
        <v>103</v>
      </c>
    </row>
    <row r="45" spans="1:19">
      <c r="B45" s="244" t="s">
        <v>97</v>
      </c>
      <c r="C45" s="231"/>
      <c r="D45" s="232"/>
      <c r="G45" s="244" t="s">
        <v>216</v>
      </c>
    </row>
    <row r="46" spans="1:19">
      <c r="B46" s="244" t="s">
        <v>254</v>
      </c>
      <c r="C46" s="231"/>
      <c r="D46" s="232"/>
      <c r="G46" s="244" t="s">
        <v>217</v>
      </c>
      <c r="N46" s="236"/>
      <c r="O46" s="236"/>
      <c r="Q46" s="236"/>
      <c r="R46" s="236"/>
      <c r="S46" s="236"/>
    </row>
    <row r="47" spans="1:19" s="236" customFormat="1" ht="15.75" customHeight="1">
      <c r="A47" s="211"/>
      <c r="B47" s="244" t="s">
        <v>263</v>
      </c>
      <c r="C47" s="229"/>
      <c r="D47" s="232"/>
      <c r="E47" s="227"/>
      <c r="F47" s="234"/>
      <c r="G47" s="244" t="s">
        <v>218</v>
      </c>
      <c r="H47" s="235"/>
      <c r="P47" s="241"/>
    </row>
    <row r="48" spans="1:19" s="236" customFormat="1" ht="15.75" customHeight="1">
      <c r="A48" s="211"/>
      <c r="B48" s="244" t="s">
        <v>238</v>
      </c>
      <c r="C48" s="229"/>
      <c r="D48" s="232"/>
      <c r="E48" s="227"/>
      <c r="F48" s="234"/>
      <c r="G48" s="244" t="s">
        <v>219</v>
      </c>
      <c r="H48" s="235"/>
      <c r="N48" s="210"/>
      <c r="O48" s="210"/>
      <c r="P48" s="239"/>
      <c r="Q48" s="210"/>
      <c r="R48" s="210"/>
      <c r="S48" s="210"/>
    </row>
    <row r="49" spans="2:7" ht="15" customHeight="1">
      <c r="B49" s="244" t="s">
        <v>210</v>
      </c>
      <c r="C49" s="237"/>
      <c r="D49" s="225"/>
      <c r="G49" s="477" t="s">
        <v>362</v>
      </c>
    </row>
    <row r="50" spans="2:7">
      <c r="G50" s="477" t="s">
        <v>363</v>
      </c>
    </row>
    <row r="51" spans="2:7" ht="15" customHeight="1">
      <c r="B51" s="246" t="s">
        <v>447</v>
      </c>
      <c r="G51" s="477" t="s">
        <v>364</v>
      </c>
    </row>
    <row r="52" spans="2:7" ht="15" customHeight="1"/>
    <row r="53" spans="2:7" ht="15" customHeight="1"/>
    <row r="62" spans="2:7" ht="15" customHeight="1"/>
    <row r="63" spans="2:7" ht="15" customHeight="1"/>
    <row r="64" spans="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algorithmName="SHA-512" hashValue="knTadOOXJIRfaZ0/fvApLlBqpdI6E85ukmjr53EjcIICoxFVz7x9O4lFCKYOmHDz9MaMeEezzriL1cf8HwaVQA==" saltValue="wMfUW0mKDTMlYoRYzk3k6Q==" spinCount="100000" sheet="1" objects="1" scenarios="1" selectLockedCells="1"/>
  <mergeCells count="21">
    <mergeCell ref="B2:Q2"/>
    <mergeCell ref="B27:C27"/>
    <mergeCell ref="B12:C12"/>
    <mergeCell ref="B17:C17"/>
    <mergeCell ref="B23:C23"/>
    <mergeCell ref="B20:C20"/>
    <mergeCell ref="B4:D4"/>
    <mergeCell ref="F4:G4"/>
    <mergeCell ref="P24:P25"/>
    <mergeCell ref="D21:D22"/>
    <mergeCell ref="P11:P12"/>
    <mergeCell ref="P18:P19"/>
    <mergeCell ref="P21:P22"/>
    <mergeCell ref="I5:M5"/>
    <mergeCell ref="K6:M7"/>
    <mergeCell ref="I7:J7"/>
    <mergeCell ref="F5:G5"/>
    <mergeCell ref="I4:J4"/>
    <mergeCell ref="P28:P29"/>
    <mergeCell ref="P16:P17"/>
    <mergeCell ref="I6:J6"/>
  </mergeCells>
  <conditionalFormatting sqref="D8">
    <cfRule type="expression" dxfId="44" priority="33">
      <formula>$C$9&lt;&gt;"Joint"</formula>
    </cfRule>
  </conditionalFormatting>
  <conditionalFormatting sqref="C16">
    <cfRule type="expression" dxfId="43" priority="32">
      <formula>$P16&lt;&gt;""</formula>
    </cfRule>
  </conditionalFormatting>
  <conditionalFormatting sqref="C15">
    <cfRule type="expression" dxfId="42" priority="31">
      <formula>$P15&lt;&gt;""</formula>
    </cfRule>
  </conditionalFormatting>
  <conditionalFormatting sqref="C9:C11">
    <cfRule type="expression" dxfId="41" priority="30">
      <formula>$P9&lt;&gt;""</formula>
    </cfRule>
  </conditionalFormatting>
  <conditionalFormatting sqref="C19">
    <cfRule type="expression" dxfId="40" priority="27">
      <formula>$P18&lt;&gt;""</formula>
    </cfRule>
  </conditionalFormatting>
  <conditionalFormatting sqref="C22">
    <cfRule type="expression" dxfId="39" priority="26">
      <formula>$P21&lt;&gt;""</formula>
    </cfRule>
  </conditionalFormatting>
  <conditionalFormatting sqref="C29">
    <cfRule type="expression" dxfId="38" priority="24">
      <formula>$P28&lt;&gt;""</formula>
    </cfRule>
  </conditionalFormatting>
  <conditionalFormatting sqref="C14">
    <cfRule type="expression" dxfId="37" priority="22">
      <formula>$P14&lt;&gt;""</formula>
    </cfRule>
  </conditionalFormatting>
  <conditionalFormatting sqref="D16">
    <cfRule type="expression" dxfId="36" priority="21">
      <formula>$P16&lt;&gt;""</formula>
    </cfRule>
  </conditionalFormatting>
  <conditionalFormatting sqref="D14">
    <cfRule type="expression" dxfId="35" priority="20">
      <formula>$P14&lt;&gt;""</formula>
    </cfRule>
  </conditionalFormatting>
  <conditionalFormatting sqref="C13:D13">
    <cfRule type="expression" dxfId="34" priority="2">
      <formula>($I$7&lt;&gt;0)</formula>
    </cfRule>
    <cfRule type="expression" dxfId="33" priority="19">
      <formula>$P13&lt;&gt;""</formula>
    </cfRule>
  </conditionalFormatting>
  <conditionalFormatting sqref="D15">
    <cfRule type="expression" dxfId="32" priority="18">
      <formula>$P15&lt;&gt;""</formula>
    </cfRule>
  </conditionalFormatting>
  <conditionalFormatting sqref="D19">
    <cfRule type="expression" dxfId="31" priority="17">
      <formula>$P18&lt;&gt;""</formula>
    </cfRule>
  </conditionalFormatting>
  <conditionalFormatting sqref="D21">
    <cfRule type="expression" dxfId="30" priority="16">
      <formula>P$21&lt;&gt;""</formula>
    </cfRule>
  </conditionalFormatting>
  <conditionalFormatting sqref="D29">
    <cfRule type="expression" dxfId="29" priority="14">
      <formula>$P28&lt;&gt;""</formula>
    </cfRule>
  </conditionalFormatting>
  <conditionalFormatting sqref="D11">
    <cfRule type="expression" dxfId="28" priority="13">
      <formula>$P11&lt;&gt;""</formula>
    </cfRule>
  </conditionalFormatting>
  <conditionalFormatting sqref="C7:C11 C13:C16 C18:C19 C21:C22 C24:C26 C28:C29 G7:G8">
    <cfRule type="expression" dxfId="27" priority="10">
      <formula>NULL()</formula>
    </cfRule>
  </conditionalFormatting>
  <conditionalFormatting sqref="G9">
    <cfRule type="expression" dxfId="26" priority="7">
      <formula>NULL()</formula>
    </cfRule>
  </conditionalFormatting>
  <conditionalFormatting sqref="I7">
    <cfRule type="expression" dxfId="25" priority="5">
      <formula>($I$7&lt;&gt;0)</formula>
    </cfRule>
  </conditionalFormatting>
  <conditionalFormatting sqref="I7:J7">
    <cfRule type="expression" dxfId="24" priority="4">
      <formula>$P$7&lt;&gt;""</formula>
    </cfRule>
  </conditionalFormatting>
  <dataValidations count="17">
    <dataValidation type="list" allowBlank="1" showInputMessage="1" showErrorMessage="1" sqref="C29 C19 C22 C15:C16 C26" xr:uid="{00000000-0002-0000-0000-000000000000}">
      <formula1>"No,Yes"</formula1>
    </dataValidation>
    <dataValidation type="list" allowBlank="1" showInputMessage="1" showErrorMessage="1" sqref="C28" xr:uid="{00000000-0002-0000-0000-000001000000}">
      <formula1>"None,LROP,FROP,LROPS,FROPS"</formula1>
    </dataValidation>
    <dataValidation type="list" allowBlank="1" showInputMessage="1" showErrorMessage="1" sqref="C24" xr:uid="{00000000-0002-0000-0000-000002000000}">
      <formula1>"Lifetime Pay,10-Pay,Single Pay"</formula1>
    </dataValidation>
    <dataValidation type="list" allowBlank="1" showInputMessage="1" showErrorMessage="1" sqref="C18" xr:uid="{00000000-0002-0000-0000-000003000000}">
      <formula1>"2 Year,3 Year,4 Year,5 Year,6 Year,Lifetime"</formula1>
    </dataValidation>
    <dataValidation type="list" allowBlank="1" showInputMessage="1" showErrorMessage="1" sqref="C14" xr:uid="{00000000-0002-0000-0000-000004000000}">
      <formula1>"0-Day,30-Day,90-Day,180-Day"</formula1>
    </dataValidation>
    <dataValidation type="list" allowBlank="1" showInputMessage="1" showErrorMessage="1" sqref="C9" xr:uid="{00000000-0002-0000-0000-000005000000}">
      <formula1>Gender_options</formula1>
    </dataValidation>
    <dataValidation type="list" allowBlank="1" showInputMessage="1" showErrorMessage="1" sqref="C10" xr:uid="{00000000-0002-0000-0000-000006000000}">
      <formula1>"Fac Only, Comp"</formula1>
    </dataValidation>
    <dataValidation type="list" allowBlank="1" showInputMessage="1" showErrorMessage="1" sqref="C7" xr:uid="{00000000-0002-0000-0000-000007000000}">
      <formula1>"AK,AL,AR,AZ,CO,CT,DC,DE,FL,GA,IA,ID,IL,IN,KS,KY,LA,MA,MD,ME,MI,MN,MO,MS,NC,ND,NE,NH,NJ,NM,NV,OH,OK,OR,PA,RI,SC,SD,TN,TX,UT,VA,VT,WA,WI,WV,WY"</formula1>
    </dataValidation>
    <dataValidation type="list" allowBlank="1" showInputMessage="1" showErrorMessage="1" sqref="C11" xr:uid="{00000000-0002-0000-0000-000008000000}">
      <formula1>Risk_class_options</formula1>
    </dataValidation>
    <dataValidation type="list" allowBlank="1" showInputMessage="1" showErrorMessage="1" sqref="C25" xr:uid="{00000000-0002-0000-0000-000009000000}">
      <formula1>"Annual,Semi-Annual,Quarterly,Monthly"</formula1>
    </dataValidation>
    <dataValidation type="list" allowBlank="1" showInputMessage="1" showErrorMessage="1" sqref="C13" xr:uid="{00000000-0002-0000-0000-00000A000000}">
      <formula1>"50,60,70,80,90,100,110,120,130,140,150,160,170,180,190,200,210,220,230,240,250,260,270,280,290,300"</formula1>
    </dataValidation>
    <dataValidation type="list" allowBlank="1" showInputMessage="1" showErrorMessage="1" sqref="C8" xr:uid="{00000000-0002-0000-0000-00000B000000}">
      <formula1>"40,41,42,43,44,45,46,47,48,49,50,51,52,53,54,55,56,57,58,59,60,61,62,63,64,65,66,67,68,69,70,71,72,73,74,75,76,77,78,79"</formula1>
    </dataValidation>
    <dataValidation type="whole" allowBlank="1" showInputMessage="1" showErrorMessage="1" sqref="G8" xr:uid="{00000000-0002-0000-0000-00000C000000}">
      <formula1>C8</formula1>
      <formula2>C8+74</formula2>
    </dataValidation>
    <dataValidation type="list" showInputMessage="1" showErrorMessage="1" sqref="C21" xr:uid="{00000000-0002-0000-0000-00000D000000}">
      <formula1>"0%,3%,5%"</formula1>
    </dataValidation>
    <dataValidation allowBlank="1" showInputMessage="1" showErrorMessage="1" promptTitle="Reverse Combo" prompt="LROP = Limited Return of Premium: Return of premium upon death (last-to-die for Joint Policy) with paid claims deducted." sqref="P36" xr:uid="{00000000-0002-0000-0000-00000E000000}"/>
    <dataValidation type="whole" operator="greaterThanOrEqual" allowBlank="1" showInputMessage="1" showErrorMessage="1" sqref="I7:J7" xr:uid="{00000000-0002-0000-0000-00000F000000}">
      <formula1>0</formula1>
    </dataValidation>
    <dataValidation type="whole" allowBlank="1" showInputMessage="1" showErrorMessage="1" sqref="G7" xr:uid="{00000000-0002-0000-0000-000010000000}">
      <formula1>$C$8</formula1>
      <formula2>$G$8</formula2>
    </dataValidation>
  </dataValidations>
  <pageMargins left="0.7" right="0.7" top="0.75" bottom="0.75" header="0.3" footer="0.3"/>
  <pageSetup scale="54" orientation="landscape" r:id="rId1"/>
  <headerFooter>
    <oddFooter>&amp;C&amp;14For Agent Use Only</oddFooter>
  </headerFooter>
  <ignoredErrors>
    <ignoredError sqref="D14:D16 D25"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5" id="{00000000-000E-0000-0000-000003000000}">
            <xm:f>NOT('Premiums Rates'!$A$93)</xm:f>
            <x14:dxf>
              <font>
                <color rgb="FFFF0000"/>
              </font>
              <fill>
                <patternFill>
                  <bgColor theme="5" tint="0.79998168889431442"/>
                </patternFill>
              </fill>
            </x14:dxf>
          </x14:cfRule>
          <xm:sqref>C25</xm:sqref>
        </x14:conditionalFormatting>
        <x14:conditionalFormatting xmlns:xm="http://schemas.microsoft.com/office/excel/2006/main">
          <x14:cfRule type="expression" priority="12" id="{940DF5F4-729C-4DDE-A582-E46099011244}">
            <xm:f>NOT('Premiums Rates'!$A$111)</xm:f>
            <x14:dxf>
              <font>
                <color rgb="FFFF0000"/>
              </font>
              <fill>
                <patternFill>
                  <bgColor theme="5" tint="0.79998168889431442"/>
                </patternFill>
              </fill>
            </x14:dxf>
          </x14:cfRule>
          <xm:sqref>D9 C10</xm:sqref>
        </x14:conditionalFormatting>
        <x14:conditionalFormatting xmlns:xm="http://schemas.microsoft.com/office/excel/2006/main">
          <x14:cfRule type="expression" priority="11" id="{68C949A3-D57C-4EAF-9188-F35FF9EBE77E}">
            <xm:f>NOT(AND('Premiums Rates'!$A$113,'Premiums Rates'!$A$115))</xm:f>
            <x14:dxf>
              <font>
                <color rgb="FFFF0000"/>
              </font>
              <fill>
                <patternFill>
                  <bgColor theme="5" tint="0.79998168889431442"/>
                </patternFill>
              </fill>
            </x14:dxf>
          </x14:cfRule>
          <xm:sqref>C24:D24</xm:sqref>
        </x14:conditionalFormatting>
        <x14:conditionalFormatting xmlns:xm="http://schemas.microsoft.com/office/excel/2006/main">
          <x14:cfRule type="expression" priority="9" id="{0D1D6700-4381-4ECD-9C81-54C92D273921}">
            <xm:f>NOT('Premiums Rates'!$A$118)</xm:f>
            <x14:dxf>
              <font>
                <color rgb="FFFF0000"/>
              </font>
              <fill>
                <patternFill>
                  <bgColor theme="5" tint="0.79998168889431442"/>
                </patternFill>
              </fill>
            </x14:dxf>
          </x14:cfRule>
          <xm:sqref>C9:D9</xm:sqref>
        </x14:conditionalFormatting>
        <x14:conditionalFormatting xmlns:xm="http://schemas.microsoft.com/office/excel/2006/main">
          <x14:cfRule type="expression" priority="8" id="{E787CC3C-B601-4D90-AF82-F23BD483F9D4}">
            <xm:f>NOT('Premiums Rates'!$A$119)</xm:f>
            <x14:dxf>
              <font>
                <color rgb="FFFF0000"/>
              </font>
              <fill>
                <patternFill>
                  <bgColor theme="5" tint="0.79998168889431442"/>
                </patternFill>
              </fill>
            </x14:dxf>
          </x14:cfRule>
          <xm:sqref>C26:D26</xm:sqref>
        </x14:conditionalFormatting>
        <x14:conditionalFormatting xmlns:xm="http://schemas.microsoft.com/office/excel/2006/main">
          <x14:cfRule type="expression" priority="1" id="{FEF8025B-8AA2-4227-9DBC-F66440F96D46}">
            <xm:f>NOT(AND('Premiums Rates'!$A$113,'Premiums Rates'!$A$115))</xm:f>
            <x14:dxf>
              <font>
                <color rgb="FFFF0000"/>
              </font>
              <fill>
                <patternFill>
                  <bgColor theme="5" tint="0.79998168889431442"/>
                </patternFill>
              </fill>
            </x14:dxf>
          </x14:cfRule>
          <xm:sqref>D25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9"/>
  <sheetViews>
    <sheetView zoomScale="140" zoomScaleNormal="140" workbookViewId="0">
      <selection activeCell="AU5" sqref="AU5"/>
    </sheetView>
  </sheetViews>
  <sheetFormatPr defaultRowHeight="15"/>
  <cols>
    <col min="1" max="1" width="25.85546875" bestFit="1" customWidth="1"/>
    <col min="2" max="2" width="17.7109375" customWidth="1"/>
    <col min="3" max="3" width="19.140625" customWidth="1"/>
    <col min="4" max="4" width="3.28515625" customWidth="1"/>
    <col min="5" max="5" width="27.140625" customWidth="1"/>
    <col min="6" max="6" width="19.140625" customWidth="1"/>
    <col min="7" max="7" width="3.5703125" customWidth="1"/>
    <col min="8" max="8" width="20" customWidth="1"/>
    <col min="9" max="9" width="13.28515625" hidden="1" customWidth="1"/>
    <col min="10" max="10" width="16.28515625" customWidth="1"/>
    <col min="11" max="11" width="9.85546875" bestFit="1" customWidth="1"/>
    <col min="12" max="12" width="11.28515625" bestFit="1" customWidth="1"/>
    <col min="13" max="13" width="12" customWidth="1"/>
  </cols>
  <sheetData>
    <row r="1" spans="1:10" ht="18" customHeight="1">
      <c r="A1" s="204" t="s">
        <v>179</v>
      </c>
      <c r="B1" s="166"/>
      <c r="C1" s="166"/>
      <c r="D1" s="166"/>
      <c r="E1" s="166"/>
      <c r="F1" s="166"/>
      <c r="H1" s="204" t="s">
        <v>169</v>
      </c>
      <c r="I1" s="166"/>
      <c r="J1" s="166"/>
    </row>
    <row r="2" spans="1:10" ht="54" customHeight="1">
      <c r="A2" s="164" t="s">
        <v>163</v>
      </c>
      <c r="B2" s="164" t="s">
        <v>164</v>
      </c>
      <c r="C2" s="164" t="s">
        <v>167</v>
      </c>
      <c r="D2" s="165"/>
      <c r="E2" s="164" t="s">
        <v>165</v>
      </c>
      <c r="F2" s="164" t="s">
        <v>168</v>
      </c>
      <c r="G2" s="142"/>
      <c r="H2" s="159" t="s">
        <v>139</v>
      </c>
      <c r="I2" s="159" t="s">
        <v>170</v>
      </c>
      <c r="J2" s="159" t="s">
        <v>171</v>
      </c>
    </row>
    <row r="3" spans="1:10" ht="20.100000000000001" customHeight="1">
      <c r="A3" s="143" t="str">
        <f>IF(Premium!$C$9="Joint",Projections!C4&amp;" / "&amp;Projections!D4,Projections!C4)</f>
        <v>55 / 55</v>
      </c>
      <c r="B3" s="144">
        <f ca="1">Projections!E4</f>
        <v>3242.92</v>
      </c>
      <c r="C3" s="145">
        <f ca="1">'Premiums Rates'!$E$86*'Deduction Chart'!B3</f>
        <v>1135.0219999999999</v>
      </c>
      <c r="D3" s="146"/>
      <c r="E3" s="147">
        <f ca="1">Projections!G4</f>
        <v>3060</v>
      </c>
      <c r="F3" s="145">
        <f ca="1">'Premiums Rates'!$E$86*'Deduction Chart'!E3</f>
        <v>1071</v>
      </c>
      <c r="G3" s="146"/>
      <c r="H3" s="160" t="s">
        <v>172</v>
      </c>
      <c r="I3" s="161">
        <v>730</v>
      </c>
      <c r="J3" s="161">
        <v>770</v>
      </c>
    </row>
    <row r="4" spans="1:10" ht="20.100000000000001" customHeight="1">
      <c r="A4" s="143" t="str">
        <f>IF(Premium!$C$9="Joint",Projections!C5&amp;" / "&amp;Projections!D5,Projections!C5)</f>
        <v>56 / 56</v>
      </c>
      <c r="B4" s="148">
        <f ca="1">Projections!E5</f>
        <v>3242.92</v>
      </c>
      <c r="C4" s="149">
        <f ca="1">'Premiums Rates'!$E$86*'Deduction Chart'!B4</f>
        <v>1135.0219999999999</v>
      </c>
      <c r="D4" s="146"/>
      <c r="E4" s="150">
        <f ca="1">Projections!G5</f>
        <v>3151.8</v>
      </c>
      <c r="F4" s="145">
        <f ca="1">'Premiums Rates'!$E$86*'Deduction Chart'!E4</f>
        <v>1103.1299999999999</v>
      </c>
      <c r="G4" s="146"/>
      <c r="H4" s="162" t="s">
        <v>173</v>
      </c>
      <c r="I4" s="163">
        <v>1460</v>
      </c>
      <c r="J4" s="163">
        <v>1530</v>
      </c>
    </row>
    <row r="5" spans="1:10" ht="20.100000000000001" customHeight="1">
      <c r="A5" s="143" t="str">
        <f>IF(Premium!$C$9="Joint",Projections!C6&amp;" / "&amp;Projections!D6,Projections!C6)</f>
        <v>57 / 57</v>
      </c>
      <c r="B5" s="148">
        <f ca="1">Projections!E6</f>
        <v>3242.92</v>
      </c>
      <c r="C5" s="149">
        <f ca="1">'Premiums Rates'!$E$86*'Deduction Chart'!B5</f>
        <v>1135.0219999999999</v>
      </c>
      <c r="D5" s="146"/>
      <c r="E5" s="150">
        <f ca="1">Projections!G6</f>
        <v>3242.92</v>
      </c>
      <c r="F5" s="145">
        <f ca="1">'Premiums Rates'!$E$86*'Deduction Chart'!E5</f>
        <v>1135.0219999999999</v>
      </c>
      <c r="G5" s="146"/>
      <c r="H5" s="162" t="s">
        <v>174</v>
      </c>
      <c r="I5" s="163">
        <v>3900</v>
      </c>
      <c r="J5" s="163">
        <v>4090</v>
      </c>
    </row>
    <row r="6" spans="1:10" ht="20.100000000000001" customHeight="1">
      <c r="A6" s="143" t="str">
        <f>IF(Premium!$C$9="Joint",Projections!C7&amp;" / "&amp;Projections!D7,Projections!C7)</f>
        <v>58 / 58</v>
      </c>
      <c r="B6" s="148">
        <f ca="1">Projections!E7</f>
        <v>3242.92</v>
      </c>
      <c r="C6" s="149">
        <f ca="1">'Premiums Rates'!$E$86*'Deduction Chart'!B6</f>
        <v>1135.0219999999999</v>
      </c>
      <c r="D6" s="146"/>
      <c r="E6" s="150">
        <f ca="1">Projections!G7</f>
        <v>3242.92</v>
      </c>
      <c r="F6" s="145">
        <f ca="1">'Premiums Rates'!$E$86*'Deduction Chart'!E6</f>
        <v>1135.0219999999999</v>
      </c>
      <c r="G6" s="146"/>
      <c r="H6" s="162" t="s">
        <v>175</v>
      </c>
      <c r="I6" s="163">
        <v>4890</v>
      </c>
      <c r="J6" s="163">
        <v>5110</v>
      </c>
    </row>
    <row r="7" spans="1:10" ht="20.100000000000001" customHeight="1">
      <c r="A7" s="143" t="str">
        <f>IF(Premium!$C$9="Joint",Projections!C8&amp;" / "&amp;Projections!D8,Projections!C8)</f>
        <v>59 / 59</v>
      </c>
      <c r="B7" s="148">
        <f ca="1">Projections!E8</f>
        <v>3242.92</v>
      </c>
      <c r="C7" s="149">
        <f ca="1">'Premiums Rates'!$E$86*'Deduction Chart'!B7</f>
        <v>1135.0219999999999</v>
      </c>
      <c r="D7" s="146"/>
      <c r="E7" s="150">
        <f ca="1">Projections!G8</f>
        <v>3242.92</v>
      </c>
      <c r="F7" s="145">
        <f ca="1">'Premiums Rates'!$E$86*'Deduction Chart'!E7</f>
        <v>1135.0219999999999</v>
      </c>
      <c r="G7" s="146"/>
    </row>
    <row r="8" spans="1:10" ht="20.100000000000001" customHeight="1">
      <c r="A8" s="143" t="str">
        <f>IF(Premium!$C$9="Joint",Projections!C9&amp;" / "&amp;Projections!D9,Projections!C9)</f>
        <v>60 / 60</v>
      </c>
      <c r="B8" s="148">
        <f ca="1">Projections!E9</f>
        <v>3242.92</v>
      </c>
      <c r="C8" s="149">
        <f ca="1">'Premiums Rates'!$E$86*'Deduction Chart'!B8</f>
        <v>1135.0219999999999</v>
      </c>
      <c r="D8" s="146"/>
      <c r="E8" s="150">
        <f ca="1">Projections!G9</f>
        <v>3242.92</v>
      </c>
      <c r="F8" s="145">
        <f ca="1">'Premiums Rates'!$E$86*'Deduction Chart'!E8</f>
        <v>1135.0219999999999</v>
      </c>
      <c r="G8" s="146"/>
    </row>
    <row r="9" spans="1:10" ht="20.100000000000001" customHeight="1">
      <c r="A9" s="143" t="str">
        <f>IF(Premium!$C$9="Joint",Projections!C10&amp;" / "&amp;Projections!D10,Projections!C10)</f>
        <v>61 / 61</v>
      </c>
      <c r="B9" s="148">
        <f ca="1">Projections!E10</f>
        <v>3242.92</v>
      </c>
      <c r="C9" s="149">
        <f ca="1">'Premiums Rates'!$E$86*'Deduction Chart'!B9</f>
        <v>1135.0219999999999</v>
      </c>
      <c r="D9" s="146"/>
      <c r="E9" s="150">
        <f ca="1">Projections!G10</f>
        <v>3242.92</v>
      </c>
      <c r="F9" s="145">
        <f ca="1">'Premiums Rates'!$E$86*'Deduction Chart'!E9</f>
        <v>1135.0219999999999</v>
      </c>
      <c r="G9" s="146"/>
    </row>
    <row r="10" spans="1:10" ht="20.100000000000001" customHeight="1">
      <c r="A10" s="143" t="str">
        <f>IF(Premium!$C$9="Joint",Projections!C11&amp;" / "&amp;Projections!D11,Projections!C11)</f>
        <v>62 / 62</v>
      </c>
      <c r="B10" s="148">
        <f ca="1">Projections!E11</f>
        <v>3242.92</v>
      </c>
      <c r="C10" s="149">
        <f ca="1">'Premiums Rates'!$E$86*'Deduction Chart'!B10</f>
        <v>1135.0219999999999</v>
      </c>
      <c r="D10" s="146"/>
      <c r="E10" s="150">
        <f ca="1">Projections!G11</f>
        <v>3242.92</v>
      </c>
      <c r="F10" s="145">
        <f ca="1">'Premiums Rates'!$E$86*'Deduction Chart'!E10</f>
        <v>1135.0219999999999</v>
      </c>
      <c r="G10" s="146"/>
    </row>
    <row r="11" spans="1:10" ht="20.100000000000001" customHeight="1">
      <c r="A11" s="143" t="str">
        <f>IF(Premium!$C$9="Joint",Projections!C12&amp;" / "&amp;Projections!D12,Projections!C12)</f>
        <v>63 / 63</v>
      </c>
      <c r="B11" s="148">
        <f ca="1">Projections!E12</f>
        <v>3242.92</v>
      </c>
      <c r="C11" s="149">
        <f ca="1">'Premiums Rates'!$E$86*'Deduction Chart'!B11</f>
        <v>1135.0219999999999</v>
      </c>
      <c r="D11" s="146"/>
      <c r="E11" s="150">
        <f ca="1">Projections!G12</f>
        <v>3242.92</v>
      </c>
      <c r="F11" s="145">
        <f ca="1">'Premiums Rates'!$E$86*'Deduction Chart'!E11</f>
        <v>1135.0219999999999</v>
      </c>
      <c r="G11" s="146"/>
    </row>
    <row r="12" spans="1:10" ht="20.100000000000001" customHeight="1">
      <c r="A12" s="169" t="str">
        <f>IF(Premium!$C$9="Joint",Projections!C13&amp;" / "&amp;Projections!D13,Projections!C13)</f>
        <v>64 / 64</v>
      </c>
      <c r="B12" s="151">
        <f ca="1">Projections!E13</f>
        <v>3242.92</v>
      </c>
      <c r="C12" s="152">
        <f ca="1">'Premiums Rates'!$E$86*'Deduction Chart'!B12</f>
        <v>1135.0219999999999</v>
      </c>
      <c r="D12" s="146"/>
      <c r="E12" s="153">
        <f ca="1">Projections!G13</f>
        <v>3242.92</v>
      </c>
      <c r="F12" s="170">
        <f ca="1">'Premiums Rates'!$E$86*'Deduction Chart'!E12</f>
        <v>1135.0219999999999</v>
      </c>
      <c r="G12" s="146"/>
    </row>
    <row r="13" spans="1:10" ht="20.100000000000001" customHeight="1">
      <c r="A13" s="154" t="s">
        <v>166</v>
      </c>
      <c r="B13" s="155">
        <f ca="1">SUM(B3:B12)</f>
        <v>32429.199999999997</v>
      </c>
      <c r="C13" s="156">
        <f ca="1">SUM(C3:C12)</f>
        <v>11350.220000000001</v>
      </c>
      <c r="D13" s="146"/>
      <c r="E13" s="157">
        <f ca="1">SUM(E3:E12)</f>
        <v>32155.159999999996</v>
      </c>
      <c r="F13" s="158">
        <f ca="1">SUM(F3:F12)</f>
        <v>11254.306</v>
      </c>
      <c r="G13" s="146"/>
    </row>
    <row r="14" spans="1:10" ht="3.75" customHeight="1"/>
    <row r="15" spans="1:10" ht="20.100000000000001" customHeight="1">
      <c r="A15" s="168" t="s">
        <v>202</v>
      </c>
      <c r="B15" s="203">
        <f>Premium!$C$8</f>
        <v>55</v>
      </c>
      <c r="C15" s="167"/>
      <c r="D15" s="167"/>
      <c r="E15" s="168" t="s">
        <v>162</v>
      </c>
      <c r="F15" s="168" t="str">
        <f>'Premiums Rates'!E85</f>
        <v>None</v>
      </c>
    </row>
    <row r="16" spans="1:10" ht="15.75">
      <c r="A16" s="168" t="s">
        <v>159</v>
      </c>
      <c r="B16" s="187">
        <f>'Premiums Rates'!E86</f>
        <v>0.35</v>
      </c>
      <c r="C16" s="167"/>
      <c r="D16" s="167"/>
      <c r="E16" s="168" t="s">
        <v>200</v>
      </c>
      <c r="F16" s="199">
        <f ca="1">F13/B13</f>
        <v>0.34704235688823659</v>
      </c>
    </row>
    <row r="17" spans="1:6" ht="20.100000000000001" customHeight="1">
      <c r="A17" s="168" t="s">
        <v>205</v>
      </c>
      <c r="B17" s="187">
        <f>'Premiums Rates'!AU7</f>
        <v>0.03</v>
      </c>
      <c r="C17" s="167"/>
      <c r="D17" s="167"/>
      <c r="E17" s="168" t="s">
        <v>199</v>
      </c>
      <c r="F17" s="199">
        <f ca="1">F13/C13</f>
        <v>0.99154959110924712</v>
      </c>
    </row>
    <row r="18" spans="1:6" ht="20.100000000000001" customHeight="1">
      <c r="C18" s="167"/>
      <c r="D18" s="167"/>
      <c r="E18" s="167"/>
      <c r="F18" s="167"/>
    </row>
    <row r="19" spans="1:6" ht="20.100000000000001" customHeight="1">
      <c r="C19" s="167"/>
      <c r="D19" s="167"/>
      <c r="E19" s="167"/>
      <c r="F19" s="16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whole" allowBlank="1" showInputMessage="1" showErrorMessage="1" xr:uid="{00000000-0002-0000-0100-000000000000}">
          <x14:formula1>
            <xm:f>40</xm:f>
          </x14:formula1>
          <x14:formula2>
            <xm:f>Premium!$C$8</xm:f>
          </x14:formula2>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XFD78"/>
  <sheetViews>
    <sheetView showGridLines="0" zoomScale="90" zoomScaleNormal="90" workbookViewId="0">
      <pane ySplit="3" topLeftCell="A25" activePane="bottomLeft" state="frozen"/>
      <selection pane="bottomLeft" sqref="A1:Q1"/>
    </sheetView>
  </sheetViews>
  <sheetFormatPr defaultRowHeight="15.75"/>
  <cols>
    <col min="1" max="1" width="2" style="167" customWidth="1"/>
    <col min="2" max="4" width="7.7109375" style="167" customWidth="1"/>
    <col min="5" max="5" width="13.140625" style="167" bestFit="1" customWidth="1"/>
    <col min="6" max="6" width="13.140625" style="167" hidden="1" customWidth="1"/>
    <col min="7" max="7" width="12.28515625" style="167" hidden="1" customWidth="1"/>
    <col min="8" max="8" width="9.85546875" style="167" hidden="1" customWidth="1"/>
    <col min="9" max="9" width="14.140625" style="167" hidden="1" customWidth="1"/>
    <col min="10" max="10" width="11.5703125" style="167" bestFit="1" customWidth="1"/>
    <col min="11" max="13" width="24.7109375" style="167" customWidth="1"/>
    <col min="14" max="14" width="23.85546875" style="167" customWidth="1"/>
    <col min="15" max="16" width="13.140625" style="167" bestFit="1" customWidth="1"/>
    <col min="17" max="17" width="14.5703125" style="167" bestFit="1" customWidth="1"/>
    <col min="18" max="18" width="3.140625" style="167" customWidth="1"/>
    <col min="19" max="19" width="7.7109375" style="167" bestFit="1" customWidth="1"/>
    <col min="20" max="20" width="12.7109375" style="167" bestFit="1" customWidth="1"/>
    <col min="21" max="16384" width="9.140625" style="167"/>
  </cols>
  <sheetData>
    <row r="1" spans="1:16384" ht="26.25">
      <c r="A1" s="517" t="s">
        <v>180</v>
      </c>
      <c r="B1" s="518"/>
      <c r="C1" s="518"/>
      <c r="D1" s="518"/>
      <c r="E1" s="518"/>
      <c r="F1" s="518"/>
      <c r="G1" s="518"/>
      <c r="H1" s="518"/>
      <c r="I1" s="518"/>
      <c r="J1" s="518"/>
      <c r="K1" s="518"/>
      <c r="L1" s="518"/>
      <c r="M1" s="518"/>
      <c r="N1" s="518"/>
      <c r="O1" s="518"/>
      <c r="P1" s="518"/>
      <c r="Q1" s="518"/>
    </row>
    <row r="2" spans="1:16384" ht="31.5">
      <c r="A2" s="253"/>
      <c r="B2" s="254" t="s">
        <v>207</v>
      </c>
      <c r="C2" s="254" t="s">
        <v>176</v>
      </c>
      <c r="D2" s="254" t="str">
        <f>IF(OR(OR(Premium!$C$9="Joint",Premium!$C$9="Individual Plus Additional Insured"),Premium!$C$9="Individual Plus Additional Insured"),"Age2","")</f>
        <v>Age2</v>
      </c>
      <c r="E2" s="254" t="s">
        <v>140</v>
      </c>
      <c r="F2" s="254" t="s">
        <v>156</v>
      </c>
      <c r="G2" s="254" t="s">
        <v>158</v>
      </c>
      <c r="H2" s="254" t="s">
        <v>157</v>
      </c>
      <c r="I2" s="254" t="s">
        <v>181</v>
      </c>
      <c r="J2" s="254" t="s">
        <v>184</v>
      </c>
      <c r="K2" s="254" t="s">
        <v>235</v>
      </c>
      <c r="L2" s="254" t="s">
        <v>236</v>
      </c>
      <c r="M2" s="254" t="s">
        <v>237</v>
      </c>
      <c r="N2" s="254" t="s">
        <v>259</v>
      </c>
      <c r="O2" s="254" t="s">
        <v>208</v>
      </c>
      <c r="P2" s="254" t="s">
        <v>201</v>
      </c>
      <c r="Q2" s="254" t="s">
        <v>206</v>
      </c>
      <c r="R2" s="198"/>
      <c r="S2" s="255"/>
      <c r="T2" s="188"/>
    </row>
    <row r="3" spans="1:16384" s="273" customFormat="1" ht="15.75" customHeight="1">
      <c r="A3" s="270"/>
      <c r="B3" s="266"/>
      <c r="C3" s="267"/>
      <c r="D3" s="267" t="s">
        <v>183</v>
      </c>
      <c r="E3" s="268">
        <f ca="1">SUM(E4:E78)</f>
        <v>81072.999999999971</v>
      </c>
      <c r="F3" s="268">
        <f t="shared" ref="F3:I3" ca="1" si="0">SUM(F4:F78)</f>
        <v>81072.999999999971</v>
      </c>
      <c r="G3" s="268">
        <f t="shared" ca="1" si="0"/>
        <v>80798.959999999977</v>
      </c>
      <c r="H3" s="268">
        <f t="shared" si="0"/>
        <v>0</v>
      </c>
      <c r="I3" s="268">
        <f t="shared" ca="1" si="0"/>
        <v>81072.999999999971</v>
      </c>
      <c r="J3" s="269"/>
      <c r="K3" s="268">
        <f t="shared" ref="K3" si="1">SUM(K4:K78)</f>
        <v>608608.30000000005</v>
      </c>
      <c r="L3" s="268">
        <f t="shared" ref="L3" si="2">SUM(L4:L78)</f>
        <v>608608.30000000005</v>
      </c>
      <c r="M3" s="268">
        <f t="shared" ref="M3" si="3">SUM(M4:M78)</f>
        <v>705545</v>
      </c>
      <c r="N3" s="268">
        <f t="shared" ref="N3" si="4">SUM(N4:N78)</f>
        <v>1922761.6</v>
      </c>
      <c r="O3" s="268">
        <f>INDEX($O$4:$O$78,MATCH('Premiums Rates'!$I$90,Projections!$C$4:$C$78,0))</f>
        <v>0</v>
      </c>
      <c r="P3" s="268">
        <f>INDEX($P$4:$P$78,MATCH('Premiums Rates'!$I$90,Projections!$C$4:$C$78,0))</f>
        <v>0</v>
      </c>
      <c r="Q3" s="268">
        <f t="shared" ref="Q3" ca="1" si="5">SUM(Q4:Q78)</f>
        <v>1841688.6</v>
      </c>
      <c r="R3" s="270"/>
      <c r="S3" s="271"/>
      <c r="T3" s="272"/>
      <c r="U3" s="270"/>
      <c r="V3" s="272"/>
      <c r="W3" s="270"/>
      <c r="X3" s="272"/>
      <c r="Y3" s="270"/>
      <c r="Z3" s="272"/>
      <c r="AA3" s="270"/>
      <c r="AB3" s="272"/>
      <c r="AC3" s="270"/>
      <c r="AD3" s="272"/>
      <c r="AE3" s="270"/>
      <c r="AF3" s="272"/>
      <c r="AG3" s="270"/>
      <c r="AH3" s="272"/>
      <c r="AI3" s="270"/>
      <c r="AJ3" s="272"/>
      <c r="AK3" s="270"/>
      <c r="AL3" s="272"/>
      <c r="AM3" s="270"/>
      <c r="AN3" s="272"/>
      <c r="AO3" s="270"/>
      <c r="AP3" s="272"/>
      <c r="AQ3" s="270"/>
      <c r="AR3" s="272"/>
      <c r="AS3" s="270"/>
      <c r="AT3" s="272"/>
      <c r="AU3" s="270"/>
      <c r="AV3" s="272"/>
      <c r="AW3" s="270"/>
      <c r="AX3" s="272"/>
      <c r="AY3" s="270"/>
      <c r="AZ3" s="272"/>
      <c r="BA3" s="270"/>
      <c r="BB3" s="272"/>
      <c r="BC3" s="270"/>
      <c r="BD3" s="272"/>
      <c r="BE3" s="270"/>
      <c r="BF3" s="272"/>
      <c r="BG3" s="270"/>
      <c r="BH3" s="272"/>
      <c r="BI3" s="270"/>
      <c r="BJ3" s="272"/>
      <c r="BK3" s="270"/>
      <c r="BL3" s="272"/>
      <c r="BM3" s="270"/>
      <c r="BN3" s="272"/>
      <c r="BO3" s="270"/>
      <c r="BP3" s="272"/>
      <c r="BQ3" s="270"/>
      <c r="BR3" s="272"/>
      <c r="BS3" s="270"/>
      <c r="BT3" s="272"/>
      <c r="BU3" s="270"/>
      <c r="BV3" s="272"/>
      <c r="BW3" s="270"/>
      <c r="BX3" s="272"/>
      <c r="BY3" s="270"/>
      <c r="BZ3" s="272"/>
      <c r="CA3" s="270"/>
      <c r="CB3" s="272"/>
      <c r="CC3" s="270"/>
      <c r="CD3" s="272"/>
      <c r="CE3" s="270"/>
      <c r="CF3" s="272"/>
      <c r="CG3" s="270"/>
      <c r="CH3" s="272"/>
      <c r="CI3" s="270"/>
      <c r="CJ3" s="272"/>
      <c r="CK3" s="270"/>
      <c r="CL3" s="272"/>
      <c r="CM3" s="270"/>
      <c r="CN3" s="272"/>
      <c r="CO3" s="270"/>
      <c r="CP3" s="272"/>
      <c r="CQ3" s="270"/>
      <c r="CR3" s="272"/>
      <c r="CS3" s="270"/>
      <c r="CT3" s="272"/>
      <c r="CU3" s="270"/>
      <c r="CV3" s="272"/>
      <c r="CW3" s="270"/>
      <c r="CX3" s="272"/>
      <c r="CY3" s="270"/>
      <c r="CZ3" s="272"/>
      <c r="DA3" s="270"/>
      <c r="DB3" s="272"/>
      <c r="DC3" s="270"/>
      <c r="DD3" s="272"/>
      <c r="DE3" s="270"/>
      <c r="DF3" s="272"/>
      <c r="DG3" s="270"/>
      <c r="DH3" s="272"/>
      <c r="DI3" s="270"/>
      <c r="DJ3" s="272"/>
      <c r="DK3" s="270"/>
      <c r="DL3" s="272"/>
      <c r="DM3" s="270"/>
      <c r="DN3" s="272"/>
      <c r="DO3" s="270"/>
      <c r="DP3" s="272"/>
      <c r="DQ3" s="270"/>
      <c r="DR3" s="272"/>
      <c r="DS3" s="270"/>
      <c r="DT3" s="272"/>
      <c r="DU3" s="270"/>
      <c r="DV3" s="272"/>
      <c r="DW3" s="270"/>
      <c r="DX3" s="272"/>
      <c r="DY3" s="270"/>
      <c r="DZ3" s="272"/>
      <c r="EA3" s="270"/>
      <c r="EB3" s="272"/>
      <c r="EC3" s="270"/>
      <c r="ED3" s="272"/>
      <c r="EE3" s="270"/>
      <c r="EF3" s="272"/>
      <c r="EG3" s="270"/>
      <c r="EH3" s="272"/>
      <c r="EI3" s="270"/>
      <c r="EJ3" s="272"/>
      <c r="EK3" s="270"/>
      <c r="EL3" s="272"/>
      <c r="EM3" s="270"/>
      <c r="EN3" s="272"/>
      <c r="EO3" s="270"/>
      <c r="EP3" s="272"/>
      <c r="EQ3" s="270"/>
      <c r="ER3" s="272"/>
      <c r="ES3" s="270"/>
      <c r="ET3" s="272"/>
      <c r="EU3" s="270"/>
      <c r="EV3" s="272"/>
      <c r="EW3" s="270"/>
      <c r="EX3" s="272"/>
      <c r="EY3" s="270"/>
      <c r="EZ3" s="272"/>
      <c r="FA3" s="270"/>
      <c r="FB3" s="272"/>
      <c r="FC3" s="270"/>
      <c r="FD3" s="272"/>
      <c r="FE3" s="270"/>
      <c r="FF3" s="272"/>
      <c r="FG3" s="270"/>
      <c r="FH3" s="272"/>
      <c r="FI3" s="270"/>
      <c r="FJ3" s="272"/>
      <c r="FK3" s="270"/>
      <c r="FL3" s="272"/>
      <c r="FM3" s="270"/>
      <c r="FN3" s="272"/>
      <c r="FO3" s="270"/>
      <c r="FP3" s="272"/>
      <c r="FQ3" s="270"/>
      <c r="FR3" s="272"/>
      <c r="FS3" s="270"/>
      <c r="FT3" s="272"/>
      <c r="FU3" s="270"/>
      <c r="FV3" s="272"/>
      <c r="FW3" s="270"/>
      <c r="FX3" s="272"/>
      <c r="FY3" s="270"/>
      <c r="FZ3" s="272"/>
      <c r="GA3" s="270"/>
      <c r="GB3" s="272"/>
      <c r="GC3" s="270"/>
      <c r="GD3" s="272"/>
      <c r="GE3" s="270"/>
      <c r="GF3" s="272"/>
      <c r="GG3" s="270"/>
      <c r="GH3" s="272"/>
      <c r="GI3" s="270"/>
      <c r="GJ3" s="272"/>
      <c r="GK3" s="270"/>
      <c r="GL3" s="272"/>
      <c r="GM3" s="270"/>
      <c r="GN3" s="272"/>
      <c r="GO3" s="270"/>
      <c r="GP3" s="272"/>
      <c r="GQ3" s="270"/>
      <c r="GR3" s="272"/>
      <c r="GS3" s="270"/>
      <c r="GT3" s="272"/>
      <c r="GU3" s="270"/>
      <c r="GV3" s="272"/>
      <c r="GW3" s="270"/>
      <c r="GX3" s="272"/>
      <c r="GY3" s="270"/>
      <c r="GZ3" s="272"/>
      <c r="HA3" s="270"/>
      <c r="HB3" s="272"/>
      <c r="HC3" s="270"/>
      <c r="HD3" s="272"/>
      <c r="HE3" s="270"/>
      <c r="HF3" s="272"/>
      <c r="HG3" s="270"/>
      <c r="HH3" s="272"/>
      <c r="HI3" s="270"/>
      <c r="HJ3" s="272"/>
      <c r="HK3" s="270"/>
      <c r="HL3" s="272"/>
      <c r="HM3" s="270"/>
      <c r="HN3" s="272"/>
      <c r="HO3" s="270"/>
      <c r="HP3" s="272"/>
      <c r="HQ3" s="270"/>
      <c r="HR3" s="272"/>
      <c r="HS3" s="270"/>
      <c r="HT3" s="272"/>
      <c r="HU3" s="270"/>
      <c r="HV3" s="272"/>
      <c r="HW3" s="270"/>
      <c r="HX3" s="272"/>
      <c r="HY3" s="270"/>
      <c r="HZ3" s="272"/>
      <c r="IA3" s="270"/>
      <c r="IB3" s="272"/>
      <c r="IC3" s="270"/>
      <c r="ID3" s="272"/>
      <c r="IE3" s="270"/>
      <c r="IF3" s="272"/>
      <c r="IG3" s="270"/>
      <c r="IH3" s="272"/>
      <c r="II3" s="270"/>
      <c r="IJ3" s="272"/>
      <c r="IK3" s="270"/>
      <c r="IL3" s="272"/>
      <c r="IM3" s="270"/>
      <c r="IN3" s="272"/>
      <c r="IO3" s="270"/>
      <c r="IP3" s="272"/>
      <c r="IQ3" s="270"/>
      <c r="IR3" s="272"/>
      <c r="IS3" s="270"/>
      <c r="IT3" s="272"/>
      <c r="IU3" s="270"/>
      <c r="IV3" s="272"/>
      <c r="IW3" s="270"/>
      <c r="IX3" s="272"/>
      <c r="IY3" s="270"/>
      <c r="IZ3" s="272"/>
      <c r="JA3" s="270"/>
      <c r="JB3" s="272"/>
      <c r="JC3" s="270"/>
      <c r="JD3" s="272"/>
      <c r="JE3" s="270"/>
      <c r="JF3" s="272"/>
      <c r="JG3" s="270"/>
      <c r="JH3" s="272"/>
      <c r="JI3" s="270"/>
      <c r="JJ3" s="272"/>
      <c r="JK3" s="270"/>
      <c r="JL3" s="272"/>
      <c r="JM3" s="270"/>
      <c r="JN3" s="272"/>
      <c r="JO3" s="270"/>
      <c r="JP3" s="272"/>
      <c r="JQ3" s="270"/>
      <c r="JR3" s="272"/>
      <c r="JS3" s="270"/>
      <c r="JT3" s="272"/>
      <c r="JU3" s="270"/>
      <c r="JV3" s="272"/>
      <c r="JW3" s="270"/>
      <c r="JX3" s="272"/>
      <c r="JY3" s="270"/>
      <c r="JZ3" s="272"/>
      <c r="KA3" s="270"/>
      <c r="KB3" s="272"/>
      <c r="KC3" s="270"/>
      <c r="KD3" s="272"/>
      <c r="KE3" s="270"/>
      <c r="KF3" s="272"/>
      <c r="KG3" s="270"/>
      <c r="KH3" s="272"/>
      <c r="KI3" s="270"/>
      <c r="KJ3" s="272"/>
      <c r="KK3" s="270"/>
      <c r="KL3" s="272"/>
      <c r="KM3" s="270"/>
      <c r="KN3" s="272"/>
      <c r="KO3" s="270"/>
      <c r="KP3" s="272"/>
      <c r="KQ3" s="270"/>
      <c r="KR3" s="272"/>
      <c r="KS3" s="270"/>
      <c r="KT3" s="272"/>
      <c r="KU3" s="270"/>
      <c r="KV3" s="272"/>
      <c r="KW3" s="270"/>
      <c r="KX3" s="272"/>
      <c r="KY3" s="270"/>
      <c r="KZ3" s="272"/>
      <c r="LA3" s="270"/>
      <c r="LB3" s="272"/>
      <c r="LC3" s="270"/>
      <c r="LD3" s="272"/>
      <c r="LE3" s="270"/>
      <c r="LF3" s="272"/>
      <c r="LG3" s="270"/>
      <c r="LH3" s="272"/>
      <c r="LI3" s="270"/>
      <c r="LJ3" s="272"/>
      <c r="LK3" s="270"/>
      <c r="LL3" s="272"/>
      <c r="LM3" s="270"/>
      <c r="LN3" s="272"/>
      <c r="LO3" s="270"/>
      <c r="LP3" s="272"/>
      <c r="LQ3" s="270"/>
      <c r="LR3" s="272"/>
      <c r="LS3" s="270"/>
      <c r="LT3" s="272"/>
      <c r="LU3" s="270"/>
      <c r="LV3" s="272"/>
      <c r="LW3" s="270"/>
      <c r="LX3" s="272"/>
      <c r="LY3" s="270"/>
      <c r="LZ3" s="272"/>
      <c r="MA3" s="270"/>
      <c r="MB3" s="272"/>
      <c r="MC3" s="270"/>
      <c r="MD3" s="272"/>
      <c r="ME3" s="270"/>
      <c r="MF3" s="272"/>
      <c r="MG3" s="270"/>
      <c r="MH3" s="272"/>
      <c r="MI3" s="270"/>
      <c r="MJ3" s="272"/>
      <c r="MK3" s="270"/>
      <c r="ML3" s="272"/>
      <c r="MM3" s="270"/>
      <c r="MN3" s="272"/>
      <c r="MO3" s="270"/>
      <c r="MP3" s="272"/>
      <c r="MQ3" s="270"/>
      <c r="MR3" s="272"/>
      <c r="MS3" s="270"/>
      <c r="MT3" s="272"/>
      <c r="MU3" s="270"/>
      <c r="MV3" s="272"/>
      <c r="MW3" s="270"/>
      <c r="MX3" s="272"/>
      <c r="MY3" s="270"/>
      <c r="MZ3" s="272"/>
      <c r="NA3" s="270"/>
      <c r="NB3" s="272"/>
      <c r="NC3" s="270"/>
      <c r="ND3" s="272"/>
      <c r="NE3" s="270"/>
      <c r="NF3" s="272"/>
      <c r="NG3" s="270"/>
      <c r="NH3" s="272"/>
      <c r="NI3" s="270"/>
      <c r="NJ3" s="272"/>
      <c r="NK3" s="270"/>
      <c r="NL3" s="272"/>
      <c r="NM3" s="270"/>
      <c r="NN3" s="272"/>
      <c r="NO3" s="270"/>
      <c r="NP3" s="272"/>
      <c r="NQ3" s="270"/>
      <c r="NR3" s="272"/>
      <c r="NS3" s="270"/>
      <c r="NT3" s="272"/>
      <c r="NU3" s="270"/>
      <c r="NV3" s="272"/>
      <c r="NW3" s="270"/>
      <c r="NX3" s="272"/>
      <c r="NY3" s="270"/>
      <c r="NZ3" s="272"/>
      <c r="OA3" s="270"/>
      <c r="OB3" s="272"/>
      <c r="OC3" s="270"/>
      <c r="OD3" s="272"/>
      <c r="OE3" s="270"/>
      <c r="OF3" s="272"/>
      <c r="OG3" s="270"/>
      <c r="OH3" s="272"/>
      <c r="OI3" s="270"/>
      <c r="OJ3" s="272"/>
      <c r="OK3" s="270"/>
      <c r="OL3" s="272"/>
      <c r="OM3" s="270"/>
      <c r="ON3" s="272"/>
      <c r="OO3" s="270"/>
      <c r="OP3" s="272"/>
      <c r="OQ3" s="270"/>
      <c r="OR3" s="272"/>
      <c r="OS3" s="270"/>
      <c r="OT3" s="272"/>
      <c r="OU3" s="270"/>
      <c r="OV3" s="272"/>
      <c r="OW3" s="270"/>
      <c r="OX3" s="272"/>
      <c r="OY3" s="270"/>
      <c r="OZ3" s="272"/>
      <c r="PA3" s="270"/>
      <c r="PB3" s="272"/>
      <c r="PC3" s="270"/>
      <c r="PD3" s="272"/>
      <c r="PE3" s="270"/>
      <c r="PF3" s="272"/>
      <c r="PG3" s="270"/>
      <c r="PH3" s="272"/>
      <c r="PI3" s="270"/>
      <c r="PJ3" s="272"/>
      <c r="PK3" s="270"/>
      <c r="PL3" s="272"/>
      <c r="PM3" s="270"/>
      <c r="PN3" s="272"/>
      <c r="PO3" s="270"/>
      <c r="PP3" s="272"/>
      <c r="PQ3" s="270"/>
      <c r="PR3" s="272"/>
      <c r="PS3" s="270"/>
      <c r="PT3" s="272"/>
      <c r="PU3" s="270"/>
      <c r="PV3" s="272"/>
      <c r="PW3" s="270"/>
      <c r="PX3" s="272"/>
      <c r="PY3" s="270"/>
      <c r="PZ3" s="272"/>
      <c r="QA3" s="270"/>
      <c r="QB3" s="272"/>
      <c r="QC3" s="270"/>
      <c r="QD3" s="272"/>
      <c r="QE3" s="270"/>
      <c r="QF3" s="272"/>
      <c r="QG3" s="270"/>
      <c r="QH3" s="272"/>
      <c r="QI3" s="270"/>
      <c r="QJ3" s="272"/>
      <c r="QK3" s="270"/>
      <c r="QL3" s="272"/>
      <c r="QM3" s="270"/>
      <c r="QN3" s="272"/>
      <c r="QO3" s="270"/>
      <c r="QP3" s="272"/>
      <c r="QQ3" s="270"/>
      <c r="QR3" s="272"/>
      <c r="QS3" s="270"/>
      <c r="QT3" s="272"/>
      <c r="QU3" s="270"/>
      <c r="QV3" s="272"/>
      <c r="QW3" s="270"/>
      <c r="QX3" s="272"/>
      <c r="QY3" s="270"/>
      <c r="QZ3" s="272"/>
      <c r="RA3" s="270"/>
      <c r="RB3" s="272"/>
      <c r="RC3" s="270"/>
      <c r="RD3" s="272"/>
      <c r="RE3" s="270"/>
      <c r="RF3" s="272"/>
      <c r="RG3" s="270"/>
      <c r="RH3" s="272"/>
      <c r="RI3" s="270"/>
      <c r="RJ3" s="272"/>
      <c r="RK3" s="270"/>
      <c r="RL3" s="272"/>
      <c r="RM3" s="270"/>
      <c r="RN3" s="272"/>
      <c r="RO3" s="270"/>
      <c r="RP3" s="272"/>
      <c r="RQ3" s="270"/>
      <c r="RR3" s="272"/>
      <c r="RS3" s="270"/>
      <c r="RT3" s="272"/>
      <c r="RU3" s="270"/>
      <c r="RV3" s="272"/>
      <c r="RW3" s="270"/>
      <c r="RX3" s="272"/>
      <c r="RY3" s="270"/>
      <c r="RZ3" s="272"/>
      <c r="SA3" s="270"/>
      <c r="SB3" s="272"/>
      <c r="SC3" s="270"/>
      <c r="SD3" s="272"/>
      <c r="SE3" s="270"/>
      <c r="SF3" s="272"/>
      <c r="SG3" s="270"/>
      <c r="SH3" s="272"/>
      <c r="SI3" s="270"/>
      <c r="SJ3" s="272"/>
      <c r="SK3" s="270"/>
      <c r="SL3" s="272"/>
      <c r="SM3" s="270"/>
      <c r="SN3" s="272"/>
      <c r="SO3" s="270"/>
      <c r="SP3" s="272"/>
      <c r="SQ3" s="270"/>
      <c r="SR3" s="272"/>
      <c r="SS3" s="270"/>
      <c r="ST3" s="272"/>
      <c r="SU3" s="270"/>
      <c r="SV3" s="272"/>
      <c r="SW3" s="270"/>
      <c r="SX3" s="272"/>
      <c r="SY3" s="270"/>
      <c r="SZ3" s="272"/>
      <c r="TA3" s="270"/>
      <c r="TB3" s="272"/>
      <c r="TC3" s="270"/>
      <c r="TD3" s="272"/>
      <c r="TE3" s="270"/>
      <c r="TF3" s="272"/>
      <c r="TG3" s="270"/>
      <c r="TH3" s="272"/>
      <c r="TI3" s="270"/>
      <c r="TJ3" s="272"/>
      <c r="TK3" s="270"/>
      <c r="TL3" s="272"/>
      <c r="TM3" s="270"/>
      <c r="TN3" s="272"/>
      <c r="TO3" s="270"/>
      <c r="TP3" s="272"/>
      <c r="TQ3" s="270"/>
      <c r="TR3" s="272"/>
      <c r="TS3" s="270"/>
      <c r="TT3" s="272"/>
      <c r="TU3" s="270"/>
      <c r="TV3" s="272"/>
      <c r="TW3" s="270"/>
      <c r="TX3" s="272"/>
      <c r="TY3" s="270"/>
      <c r="TZ3" s="272"/>
      <c r="UA3" s="270"/>
      <c r="UB3" s="272"/>
      <c r="UC3" s="270"/>
      <c r="UD3" s="272"/>
      <c r="UE3" s="270"/>
      <c r="UF3" s="272"/>
      <c r="UG3" s="270"/>
      <c r="UH3" s="272"/>
      <c r="UI3" s="270"/>
      <c r="UJ3" s="272"/>
      <c r="UK3" s="270"/>
      <c r="UL3" s="272"/>
      <c r="UM3" s="270"/>
      <c r="UN3" s="272"/>
      <c r="UO3" s="270"/>
      <c r="UP3" s="272"/>
      <c r="UQ3" s="270"/>
      <c r="UR3" s="272"/>
      <c r="US3" s="270"/>
      <c r="UT3" s="272"/>
      <c r="UU3" s="270"/>
      <c r="UV3" s="272"/>
      <c r="UW3" s="270"/>
      <c r="UX3" s="272"/>
      <c r="UY3" s="270"/>
      <c r="UZ3" s="272"/>
      <c r="VA3" s="270"/>
      <c r="VB3" s="272"/>
      <c r="VC3" s="270"/>
      <c r="VD3" s="272"/>
      <c r="VE3" s="270"/>
      <c r="VF3" s="272"/>
      <c r="VG3" s="270"/>
      <c r="VH3" s="272"/>
      <c r="VI3" s="270"/>
      <c r="VJ3" s="272"/>
      <c r="VK3" s="270"/>
      <c r="VL3" s="272"/>
      <c r="VM3" s="270"/>
      <c r="VN3" s="272"/>
      <c r="VO3" s="270"/>
      <c r="VP3" s="272"/>
      <c r="VQ3" s="270"/>
      <c r="VR3" s="272"/>
      <c r="VS3" s="270"/>
      <c r="VT3" s="272"/>
      <c r="VU3" s="270"/>
      <c r="VV3" s="272"/>
      <c r="VW3" s="270"/>
      <c r="VX3" s="272"/>
      <c r="VY3" s="270"/>
      <c r="VZ3" s="272"/>
      <c r="WA3" s="270"/>
      <c r="WB3" s="272"/>
      <c r="WC3" s="270"/>
      <c r="WD3" s="272"/>
      <c r="WE3" s="270"/>
      <c r="WF3" s="272"/>
      <c r="WG3" s="270"/>
      <c r="WH3" s="272"/>
      <c r="WI3" s="270"/>
      <c r="WJ3" s="272"/>
      <c r="WK3" s="270"/>
      <c r="WL3" s="272"/>
      <c r="WM3" s="270"/>
      <c r="WN3" s="272"/>
      <c r="WO3" s="270"/>
      <c r="WP3" s="272"/>
      <c r="WQ3" s="270"/>
      <c r="WR3" s="272"/>
      <c r="WS3" s="270"/>
      <c r="WT3" s="272"/>
      <c r="WU3" s="270"/>
      <c r="WV3" s="272"/>
      <c r="WW3" s="270"/>
      <c r="WX3" s="272"/>
      <c r="WY3" s="270"/>
      <c r="WZ3" s="272"/>
      <c r="XA3" s="270"/>
      <c r="XB3" s="272"/>
      <c r="XC3" s="270"/>
      <c r="XD3" s="272"/>
      <c r="XE3" s="270"/>
      <c r="XF3" s="272"/>
      <c r="XG3" s="270"/>
      <c r="XH3" s="272"/>
      <c r="XI3" s="270"/>
      <c r="XJ3" s="272"/>
      <c r="XK3" s="270"/>
      <c r="XL3" s="272"/>
      <c r="XM3" s="270"/>
      <c r="XN3" s="272"/>
      <c r="XO3" s="270"/>
      <c r="XP3" s="272"/>
      <c r="XQ3" s="270"/>
      <c r="XR3" s="272"/>
      <c r="XS3" s="270"/>
      <c r="XT3" s="272"/>
      <c r="XU3" s="270"/>
      <c r="XV3" s="272"/>
      <c r="XW3" s="270"/>
      <c r="XX3" s="272"/>
      <c r="XY3" s="270"/>
      <c r="XZ3" s="272"/>
      <c r="YA3" s="270"/>
      <c r="YB3" s="272"/>
      <c r="YC3" s="270"/>
      <c r="YD3" s="272"/>
      <c r="YE3" s="270"/>
      <c r="YF3" s="272"/>
      <c r="YG3" s="270"/>
      <c r="YH3" s="272"/>
      <c r="YI3" s="270"/>
      <c r="YJ3" s="272"/>
      <c r="YK3" s="270"/>
      <c r="YL3" s="272"/>
      <c r="YM3" s="270"/>
      <c r="YN3" s="272"/>
      <c r="YO3" s="270"/>
      <c r="YP3" s="272"/>
      <c r="YQ3" s="270"/>
      <c r="YR3" s="272"/>
      <c r="YS3" s="270"/>
      <c r="YT3" s="272"/>
      <c r="YU3" s="270"/>
      <c r="YV3" s="272"/>
      <c r="YW3" s="270"/>
      <c r="YX3" s="272"/>
      <c r="YY3" s="270"/>
      <c r="YZ3" s="272"/>
      <c r="ZA3" s="270"/>
      <c r="ZB3" s="272"/>
      <c r="ZC3" s="270"/>
      <c r="ZD3" s="272"/>
      <c r="ZE3" s="270"/>
      <c r="ZF3" s="272"/>
      <c r="ZG3" s="270"/>
      <c r="ZH3" s="272"/>
      <c r="ZI3" s="270"/>
      <c r="ZJ3" s="272"/>
      <c r="ZK3" s="270"/>
      <c r="ZL3" s="272"/>
      <c r="ZM3" s="270"/>
      <c r="ZN3" s="272"/>
      <c r="ZO3" s="270"/>
      <c r="ZP3" s="272"/>
      <c r="ZQ3" s="270"/>
      <c r="ZR3" s="272"/>
      <c r="ZS3" s="270"/>
      <c r="ZT3" s="272"/>
      <c r="ZU3" s="270"/>
      <c r="ZV3" s="272"/>
      <c r="ZW3" s="270"/>
      <c r="ZX3" s="272"/>
      <c r="ZY3" s="270"/>
      <c r="ZZ3" s="272"/>
      <c r="AAA3" s="270"/>
      <c r="AAB3" s="272"/>
      <c r="AAC3" s="270"/>
      <c r="AAD3" s="272"/>
      <c r="AAE3" s="270"/>
      <c r="AAF3" s="272"/>
      <c r="AAG3" s="270"/>
      <c r="AAH3" s="272"/>
      <c r="AAI3" s="270"/>
      <c r="AAJ3" s="272"/>
      <c r="AAK3" s="270"/>
      <c r="AAL3" s="272"/>
      <c r="AAM3" s="270"/>
      <c r="AAN3" s="272"/>
      <c r="AAO3" s="270"/>
      <c r="AAP3" s="272"/>
      <c r="AAQ3" s="270"/>
      <c r="AAR3" s="272"/>
      <c r="AAS3" s="270"/>
      <c r="AAT3" s="272"/>
      <c r="AAU3" s="270"/>
      <c r="AAV3" s="272"/>
      <c r="AAW3" s="270"/>
      <c r="AAX3" s="272"/>
      <c r="AAY3" s="270"/>
      <c r="AAZ3" s="272"/>
      <c r="ABA3" s="270"/>
      <c r="ABB3" s="272"/>
      <c r="ABC3" s="270"/>
      <c r="ABD3" s="272"/>
      <c r="ABE3" s="270"/>
      <c r="ABF3" s="272"/>
      <c r="ABG3" s="270"/>
      <c r="ABH3" s="272"/>
      <c r="ABI3" s="270"/>
      <c r="ABJ3" s="272"/>
      <c r="ABK3" s="270"/>
      <c r="ABL3" s="272"/>
      <c r="ABM3" s="270"/>
      <c r="ABN3" s="272"/>
      <c r="ABO3" s="270"/>
      <c r="ABP3" s="272"/>
      <c r="ABQ3" s="270"/>
      <c r="ABR3" s="272"/>
      <c r="ABS3" s="270"/>
      <c r="ABT3" s="272"/>
      <c r="ABU3" s="270"/>
      <c r="ABV3" s="272"/>
      <c r="ABW3" s="270"/>
      <c r="ABX3" s="272"/>
      <c r="ABY3" s="270"/>
      <c r="ABZ3" s="272"/>
      <c r="ACA3" s="270"/>
      <c r="ACB3" s="272"/>
      <c r="ACC3" s="270"/>
      <c r="ACD3" s="272"/>
      <c r="ACE3" s="270"/>
      <c r="ACF3" s="272"/>
      <c r="ACG3" s="270"/>
      <c r="ACH3" s="272"/>
      <c r="ACI3" s="270"/>
      <c r="ACJ3" s="272"/>
      <c r="ACK3" s="270"/>
      <c r="ACL3" s="272"/>
      <c r="ACM3" s="270"/>
      <c r="ACN3" s="272"/>
      <c r="ACO3" s="270"/>
      <c r="ACP3" s="272"/>
      <c r="ACQ3" s="270"/>
      <c r="ACR3" s="272"/>
      <c r="ACS3" s="270"/>
      <c r="ACT3" s="272"/>
      <c r="ACU3" s="270"/>
      <c r="ACV3" s="272"/>
      <c r="ACW3" s="270"/>
      <c r="ACX3" s="272"/>
      <c r="ACY3" s="270"/>
      <c r="ACZ3" s="272"/>
      <c r="ADA3" s="270"/>
      <c r="ADB3" s="272"/>
      <c r="ADC3" s="270"/>
      <c r="ADD3" s="272"/>
      <c r="ADE3" s="270"/>
      <c r="ADF3" s="272"/>
      <c r="ADG3" s="270"/>
      <c r="ADH3" s="272"/>
      <c r="ADI3" s="270"/>
      <c r="ADJ3" s="272"/>
      <c r="ADK3" s="270"/>
      <c r="ADL3" s="272"/>
      <c r="ADM3" s="270"/>
      <c r="ADN3" s="272"/>
      <c r="ADO3" s="270"/>
      <c r="ADP3" s="272"/>
      <c r="ADQ3" s="270"/>
      <c r="ADR3" s="272"/>
      <c r="ADS3" s="270"/>
      <c r="ADT3" s="272"/>
      <c r="ADU3" s="270"/>
      <c r="ADV3" s="272"/>
      <c r="ADW3" s="270"/>
      <c r="ADX3" s="272"/>
      <c r="ADY3" s="270"/>
      <c r="ADZ3" s="272"/>
      <c r="AEA3" s="270"/>
      <c r="AEB3" s="272"/>
      <c r="AEC3" s="270"/>
      <c r="AED3" s="272"/>
      <c r="AEE3" s="270"/>
      <c r="AEF3" s="272"/>
      <c r="AEG3" s="270"/>
      <c r="AEH3" s="272"/>
      <c r="AEI3" s="270"/>
      <c r="AEJ3" s="272"/>
      <c r="AEK3" s="270"/>
      <c r="AEL3" s="272"/>
      <c r="AEM3" s="270"/>
      <c r="AEN3" s="272"/>
      <c r="AEO3" s="270"/>
      <c r="AEP3" s="272"/>
      <c r="AEQ3" s="270"/>
      <c r="AER3" s="272"/>
      <c r="AES3" s="270"/>
      <c r="AET3" s="272"/>
      <c r="AEU3" s="270"/>
      <c r="AEV3" s="272"/>
      <c r="AEW3" s="270"/>
      <c r="AEX3" s="272"/>
      <c r="AEY3" s="270"/>
      <c r="AEZ3" s="272"/>
      <c r="AFA3" s="270"/>
      <c r="AFB3" s="272"/>
      <c r="AFC3" s="270"/>
      <c r="AFD3" s="272"/>
      <c r="AFE3" s="270"/>
      <c r="AFF3" s="272"/>
      <c r="AFG3" s="270"/>
      <c r="AFH3" s="272"/>
      <c r="AFI3" s="270"/>
      <c r="AFJ3" s="272"/>
      <c r="AFK3" s="270"/>
      <c r="AFL3" s="272"/>
      <c r="AFM3" s="270"/>
      <c r="AFN3" s="272"/>
      <c r="AFO3" s="270"/>
      <c r="AFP3" s="272"/>
      <c r="AFQ3" s="270"/>
      <c r="AFR3" s="272"/>
      <c r="AFS3" s="270"/>
      <c r="AFT3" s="272"/>
      <c r="AFU3" s="270"/>
      <c r="AFV3" s="272"/>
      <c r="AFW3" s="270"/>
      <c r="AFX3" s="272"/>
      <c r="AFY3" s="270"/>
      <c r="AFZ3" s="272"/>
      <c r="AGA3" s="270"/>
      <c r="AGB3" s="272"/>
      <c r="AGC3" s="270"/>
      <c r="AGD3" s="272"/>
      <c r="AGE3" s="270"/>
      <c r="AGF3" s="272"/>
      <c r="AGG3" s="270"/>
      <c r="AGH3" s="272"/>
      <c r="AGI3" s="270"/>
      <c r="AGJ3" s="272"/>
      <c r="AGK3" s="270"/>
      <c r="AGL3" s="272"/>
      <c r="AGM3" s="270"/>
      <c r="AGN3" s="272"/>
      <c r="AGO3" s="270"/>
      <c r="AGP3" s="272"/>
      <c r="AGQ3" s="270"/>
      <c r="AGR3" s="272"/>
      <c r="AGS3" s="270"/>
      <c r="AGT3" s="272"/>
      <c r="AGU3" s="270"/>
      <c r="AGV3" s="272"/>
      <c r="AGW3" s="270"/>
      <c r="AGX3" s="272"/>
      <c r="AGY3" s="270"/>
      <c r="AGZ3" s="272"/>
      <c r="AHA3" s="270"/>
      <c r="AHB3" s="272"/>
      <c r="AHC3" s="270"/>
      <c r="AHD3" s="272"/>
      <c r="AHE3" s="270"/>
      <c r="AHF3" s="272"/>
      <c r="AHG3" s="270"/>
      <c r="AHH3" s="272"/>
      <c r="AHI3" s="270"/>
      <c r="AHJ3" s="272"/>
      <c r="AHK3" s="270"/>
      <c r="AHL3" s="272"/>
      <c r="AHM3" s="270"/>
      <c r="AHN3" s="272"/>
      <c r="AHO3" s="270"/>
      <c r="AHP3" s="272"/>
      <c r="AHQ3" s="270"/>
      <c r="AHR3" s="272"/>
      <c r="AHS3" s="270"/>
      <c r="AHT3" s="272"/>
      <c r="AHU3" s="270"/>
      <c r="AHV3" s="272"/>
      <c r="AHW3" s="270"/>
      <c r="AHX3" s="272"/>
      <c r="AHY3" s="270"/>
      <c r="AHZ3" s="272"/>
      <c r="AIA3" s="270"/>
      <c r="AIB3" s="272"/>
      <c r="AIC3" s="270"/>
      <c r="AID3" s="272"/>
      <c r="AIE3" s="270"/>
      <c r="AIF3" s="272"/>
      <c r="AIG3" s="270"/>
      <c r="AIH3" s="272"/>
      <c r="AII3" s="270"/>
      <c r="AIJ3" s="272"/>
      <c r="AIK3" s="270"/>
      <c r="AIL3" s="272"/>
      <c r="AIM3" s="270"/>
      <c r="AIN3" s="272"/>
      <c r="AIO3" s="270"/>
      <c r="AIP3" s="272"/>
      <c r="AIQ3" s="270"/>
      <c r="AIR3" s="272"/>
      <c r="AIS3" s="270"/>
      <c r="AIT3" s="272"/>
      <c r="AIU3" s="270"/>
      <c r="AIV3" s="272"/>
      <c r="AIW3" s="270"/>
      <c r="AIX3" s="272"/>
      <c r="AIY3" s="270"/>
      <c r="AIZ3" s="272"/>
      <c r="AJA3" s="270"/>
      <c r="AJB3" s="272"/>
      <c r="AJC3" s="270"/>
      <c r="AJD3" s="272"/>
      <c r="AJE3" s="270"/>
      <c r="AJF3" s="272"/>
      <c r="AJG3" s="270"/>
      <c r="AJH3" s="272"/>
      <c r="AJI3" s="270"/>
      <c r="AJJ3" s="272"/>
      <c r="AJK3" s="270"/>
      <c r="AJL3" s="272"/>
      <c r="AJM3" s="270"/>
      <c r="AJN3" s="272"/>
      <c r="AJO3" s="270"/>
      <c r="AJP3" s="272"/>
      <c r="AJQ3" s="270"/>
      <c r="AJR3" s="272"/>
      <c r="AJS3" s="270"/>
      <c r="AJT3" s="272"/>
      <c r="AJU3" s="270"/>
      <c r="AJV3" s="272"/>
      <c r="AJW3" s="270"/>
      <c r="AJX3" s="272"/>
      <c r="AJY3" s="270"/>
      <c r="AJZ3" s="272"/>
      <c r="AKA3" s="270"/>
      <c r="AKB3" s="272"/>
      <c r="AKC3" s="270"/>
      <c r="AKD3" s="272"/>
      <c r="AKE3" s="270"/>
      <c r="AKF3" s="272"/>
      <c r="AKG3" s="270"/>
      <c r="AKH3" s="272"/>
      <c r="AKI3" s="270"/>
      <c r="AKJ3" s="272"/>
      <c r="AKK3" s="270"/>
      <c r="AKL3" s="272"/>
      <c r="AKM3" s="270"/>
      <c r="AKN3" s="272"/>
      <c r="AKO3" s="270"/>
      <c r="AKP3" s="272"/>
      <c r="AKQ3" s="270"/>
      <c r="AKR3" s="272"/>
      <c r="AKS3" s="270"/>
      <c r="AKT3" s="272"/>
      <c r="AKU3" s="270"/>
      <c r="AKV3" s="272"/>
      <c r="AKW3" s="270"/>
      <c r="AKX3" s="272"/>
      <c r="AKY3" s="270"/>
      <c r="AKZ3" s="272"/>
      <c r="ALA3" s="270"/>
      <c r="ALB3" s="272"/>
      <c r="ALC3" s="270"/>
      <c r="ALD3" s="272"/>
      <c r="ALE3" s="270"/>
      <c r="ALF3" s="272"/>
      <c r="ALG3" s="270"/>
      <c r="ALH3" s="272"/>
      <c r="ALI3" s="270"/>
      <c r="ALJ3" s="272"/>
      <c r="ALK3" s="270"/>
      <c r="ALL3" s="272"/>
      <c r="ALM3" s="270"/>
      <c r="ALN3" s="272"/>
      <c r="ALO3" s="270"/>
      <c r="ALP3" s="272"/>
      <c r="ALQ3" s="270"/>
      <c r="ALR3" s="272"/>
      <c r="ALS3" s="270"/>
      <c r="ALT3" s="272"/>
      <c r="ALU3" s="270"/>
      <c r="ALV3" s="272"/>
      <c r="ALW3" s="270"/>
      <c r="ALX3" s="272"/>
      <c r="ALY3" s="270"/>
      <c r="ALZ3" s="272"/>
      <c r="AMA3" s="270"/>
      <c r="AMB3" s="272"/>
      <c r="AMC3" s="270"/>
      <c r="AMD3" s="272"/>
      <c r="AME3" s="270"/>
      <c r="AMF3" s="272"/>
      <c r="AMG3" s="270"/>
      <c r="AMH3" s="272"/>
      <c r="AMI3" s="270"/>
      <c r="AMJ3" s="272"/>
      <c r="AMK3" s="270"/>
      <c r="AML3" s="272"/>
      <c r="AMM3" s="270"/>
      <c r="AMN3" s="272"/>
      <c r="AMO3" s="270"/>
      <c r="AMP3" s="272"/>
      <c r="AMQ3" s="270"/>
      <c r="AMR3" s="272"/>
      <c r="AMS3" s="270"/>
      <c r="AMT3" s="272"/>
      <c r="AMU3" s="270"/>
      <c r="AMV3" s="272"/>
      <c r="AMW3" s="270"/>
      <c r="AMX3" s="272"/>
      <c r="AMY3" s="270"/>
      <c r="AMZ3" s="272"/>
      <c r="ANA3" s="270"/>
      <c r="ANB3" s="272"/>
      <c r="ANC3" s="270"/>
      <c r="AND3" s="272"/>
      <c r="ANE3" s="270"/>
      <c r="ANF3" s="272"/>
      <c r="ANG3" s="270"/>
      <c r="ANH3" s="272"/>
      <c r="ANI3" s="270"/>
      <c r="ANJ3" s="272"/>
      <c r="ANK3" s="270"/>
      <c r="ANL3" s="272"/>
      <c r="ANM3" s="270"/>
      <c r="ANN3" s="272"/>
      <c r="ANO3" s="270"/>
      <c r="ANP3" s="272"/>
      <c r="ANQ3" s="270"/>
      <c r="ANR3" s="272"/>
      <c r="ANS3" s="270"/>
      <c r="ANT3" s="272"/>
      <c r="ANU3" s="270"/>
      <c r="ANV3" s="272"/>
      <c r="ANW3" s="270"/>
      <c r="ANX3" s="272"/>
      <c r="ANY3" s="270"/>
      <c r="ANZ3" s="272"/>
      <c r="AOA3" s="270"/>
      <c r="AOB3" s="272"/>
      <c r="AOC3" s="270"/>
      <c r="AOD3" s="272"/>
      <c r="AOE3" s="270"/>
      <c r="AOF3" s="272"/>
      <c r="AOG3" s="270"/>
      <c r="AOH3" s="272"/>
      <c r="AOI3" s="270"/>
      <c r="AOJ3" s="272"/>
      <c r="AOK3" s="270"/>
      <c r="AOL3" s="272"/>
      <c r="AOM3" s="270"/>
      <c r="AON3" s="272"/>
      <c r="AOO3" s="270"/>
      <c r="AOP3" s="272"/>
      <c r="AOQ3" s="270"/>
      <c r="AOR3" s="272"/>
      <c r="AOS3" s="270"/>
      <c r="AOT3" s="272"/>
      <c r="AOU3" s="270"/>
      <c r="AOV3" s="272"/>
      <c r="AOW3" s="270"/>
      <c r="AOX3" s="272"/>
      <c r="AOY3" s="270"/>
      <c r="AOZ3" s="272"/>
      <c r="APA3" s="270"/>
      <c r="APB3" s="272"/>
      <c r="APC3" s="270"/>
      <c r="APD3" s="272"/>
      <c r="APE3" s="270"/>
      <c r="APF3" s="272"/>
      <c r="APG3" s="270"/>
      <c r="APH3" s="272"/>
      <c r="API3" s="270"/>
      <c r="APJ3" s="272"/>
      <c r="APK3" s="270"/>
      <c r="APL3" s="272"/>
      <c r="APM3" s="270"/>
      <c r="APN3" s="272"/>
      <c r="APO3" s="270"/>
      <c r="APP3" s="272"/>
      <c r="APQ3" s="270"/>
      <c r="APR3" s="272"/>
      <c r="APS3" s="270"/>
      <c r="APT3" s="272"/>
      <c r="APU3" s="270"/>
      <c r="APV3" s="272"/>
      <c r="APW3" s="270"/>
      <c r="APX3" s="272"/>
      <c r="APY3" s="270"/>
      <c r="APZ3" s="272"/>
      <c r="AQA3" s="270"/>
      <c r="AQB3" s="272"/>
      <c r="AQC3" s="270"/>
      <c r="AQD3" s="272"/>
      <c r="AQE3" s="270"/>
      <c r="AQF3" s="272"/>
      <c r="AQG3" s="270"/>
      <c r="AQH3" s="272"/>
      <c r="AQI3" s="270"/>
      <c r="AQJ3" s="272"/>
      <c r="AQK3" s="270"/>
      <c r="AQL3" s="272"/>
      <c r="AQM3" s="270"/>
      <c r="AQN3" s="272"/>
      <c r="AQO3" s="270"/>
      <c r="AQP3" s="272"/>
      <c r="AQQ3" s="270"/>
      <c r="AQR3" s="272"/>
      <c r="AQS3" s="270"/>
      <c r="AQT3" s="272"/>
      <c r="AQU3" s="270"/>
      <c r="AQV3" s="272"/>
      <c r="AQW3" s="270"/>
      <c r="AQX3" s="272"/>
      <c r="AQY3" s="270"/>
      <c r="AQZ3" s="272"/>
      <c r="ARA3" s="270"/>
      <c r="ARB3" s="272"/>
      <c r="ARC3" s="270"/>
      <c r="ARD3" s="272"/>
      <c r="ARE3" s="270"/>
      <c r="ARF3" s="272"/>
      <c r="ARG3" s="270"/>
      <c r="ARH3" s="272"/>
      <c r="ARI3" s="270"/>
      <c r="ARJ3" s="272"/>
      <c r="ARK3" s="270"/>
      <c r="ARL3" s="272"/>
      <c r="ARM3" s="270"/>
      <c r="ARN3" s="272"/>
      <c r="ARO3" s="270"/>
      <c r="ARP3" s="272"/>
      <c r="ARQ3" s="270"/>
      <c r="ARR3" s="272"/>
      <c r="ARS3" s="270"/>
      <c r="ART3" s="272"/>
      <c r="ARU3" s="270"/>
      <c r="ARV3" s="272"/>
      <c r="ARW3" s="270"/>
      <c r="ARX3" s="272"/>
      <c r="ARY3" s="270"/>
      <c r="ARZ3" s="272"/>
      <c r="ASA3" s="270"/>
      <c r="ASB3" s="272"/>
      <c r="ASC3" s="270"/>
      <c r="ASD3" s="272"/>
      <c r="ASE3" s="270"/>
      <c r="ASF3" s="272"/>
      <c r="ASG3" s="270"/>
      <c r="ASH3" s="272"/>
      <c r="ASI3" s="270"/>
      <c r="ASJ3" s="272"/>
      <c r="ASK3" s="270"/>
      <c r="ASL3" s="272"/>
      <c r="ASM3" s="270"/>
      <c r="ASN3" s="272"/>
      <c r="ASO3" s="270"/>
      <c r="ASP3" s="272"/>
      <c r="ASQ3" s="270"/>
      <c r="ASR3" s="272"/>
      <c r="ASS3" s="270"/>
      <c r="AST3" s="272"/>
      <c r="ASU3" s="270"/>
      <c r="ASV3" s="272"/>
      <c r="ASW3" s="270"/>
      <c r="ASX3" s="272"/>
      <c r="ASY3" s="270"/>
      <c r="ASZ3" s="272"/>
      <c r="ATA3" s="270"/>
      <c r="ATB3" s="272"/>
      <c r="ATC3" s="270"/>
      <c r="ATD3" s="272"/>
      <c r="ATE3" s="270"/>
      <c r="ATF3" s="272"/>
      <c r="ATG3" s="270"/>
      <c r="ATH3" s="272"/>
      <c r="ATI3" s="270"/>
      <c r="ATJ3" s="272"/>
      <c r="ATK3" s="270"/>
      <c r="ATL3" s="272"/>
      <c r="ATM3" s="270"/>
      <c r="ATN3" s="272"/>
      <c r="ATO3" s="270"/>
      <c r="ATP3" s="272"/>
      <c r="ATQ3" s="270"/>
      <c r="ATR3" s="272"/>
      <c r="ATS3" s="270"/>
      <c r="ATT3" s="272"/>
      <c r="ATU3" s="270"/>
      <c r="ATV3" s="272"/>
      <c r="ATW3" s="270"/>
      <c r="ATX3" s="272"/>
      <c r="ATY3" s="270"/>
      <c r="ATZ3" s="272"/>
      <c r="AUA3" s="270"/>
      <c r="AUB3" s="272"/>
      <c r="AUC3" s="270"/>
      <c r="AUD3" s="272"/>
      <c r="AUE3" s="270"/>
      <c r="AUF3" s="272"/>
      <c r="AUG3" s="270"/>
      <c r="AUH3" s="272"/>
      <c r="AUI3" s="270"/>
      <c r="AUJ3" s="272"/>
      <c r="AUK3" s="270"/>
      <c r="AUL3" s="272"/>
      <c r="AUM3" s="270"/>
      <c r="AUN3" s="272"/>
      <c r="AUO3" s="270"/>
      <c r="AUP3" s="272"/>
      <c r="AUQ3" s="270"/>
      <c r="AUR3" s="272"/>
      <c r="AUS3" s="270"/>
      <c r="AUT3" s="272"/>
      <c r="AUU3" s="270"/>
      <c r="AUV3" s="272"/>
      <c r="AUW3" s="270"/>
      <c r="AUX3" s="272"/>
      <c r="AUY3" s="270"/>
      <c r="AUZ3" s="272"/>
      <c r="AVA3" s="270"/>
      <c r="AVB3" s="272"/>
      <c r="AVC3" s="270"/>
      <c r="AVD3" s="272"/>
      <c r="AVE3" s="270"/>
      <c r="AVF3" s="272"/>
      <c r="AVG3" s="270"/>
      <c r="AVH3" s="272"/>
      <c r="AVI3" s="270"/>
      <c r="AVJ3" s="272"/>
      <c r="AVK3" s="270"/>
      <c r="AVL3" s="272"/>
      <c r="AVM3" s="270"/>
      <c r="AVN3" s="272"/>
      <c r="AVO3" s="270"/>
      <c r="AVP3" s="272"/>
      <c r="AVQ3" s="270"/>
      <c r="AVR3" s="272"/>
      <c r="AVS3" s="270"/>
      <c r="AVT3" s="272"/>
      <c r="AVU3" s="270"/>
      <c r="AVV3" s="272"/>
      <c r="AVW3" s="270"/>
      <c r="AVX3" s="272"/>
      <c r="AVY3" s="270"/>
      <c r="AVZ3" s="272"/>
      <c r="AWA3" s="270"/>
      <c r="AWB3" s="272"/>
      <c r="AWC3" s="270"/>
      <c r="AWD3" s="272"/>
      <c r="AWE3" s="270"/>
      <c r="AWF3" s="272"/>
      <c r="AWG3" s="270"/>
      <c r="AWH3" s="272"/>
      <c r="AWI3" s="270"/>
      <c r="AWJ3" s="272"/>
      <c r="AWK3" s="270"/>
      <c r="AWL3" s="272"/>
      <c r="AWM3" s="270"/>
      <c r="AWN3" s="272"/>
      <c r="AWO3" s="270"/>
      <c r="AWP3" s="272"/>
      <c r="AWQ3" s="270"/>
      <c r="AWR3" s="272"/>
      <c r="AWS3" s="270"/>
      <c r="AWT3" s="272"/>
      <c r="AWU3" s="270"/>
      <c r="AWV3" s="272"/>
      <c r="AWW3" s="270"/>
      <c r="AWX3" s="272"/>
      <c r="AWY3" s="270"/>
      <c r="AWZ3" s="272"/>
      <c r="AXA3" s="270"/>
      <c r="AXB3" s="272"/>
      <c r="AXC3" s="270"/>
      <c r="AXD3" s="272"/>
      <c r="AXE3" s="270"/>
      <c r="AXF3" s="272"/>
      <c r="AXG3" s="270"/>
      <c r="AXH3" s="272"/>
      <c r="AXI3" s="270"/>
      <c r="AXJ3" s="272"/>
      <c r="AXK3" s="270"/>
      <c r="AXL3" s="272"/>
      <c r="AXM3" s="270"/>
      <c r="AXN3" s="272"/>
      <c r="AXO3" s="270"/>
      <c r="AXP3" s="272"/>
      <c r="AXQ3" s="270"/>
      <c r="AXR3" s="272"/>
      <c r="AXS3" s="270"/>
      <c r="AXT3" s="272"/>
      <c r="AXU3" s="270"/>
      <c r="AXV3" s="272"/>
      <c r="AXW3" s="270"/>
      <c r="AXX3" s="272"/>
      <c r="AXY3" s="270"/>
      <c r="AXZ3" s="272"/>
      <c r="AYA3" s="270"/>
      <c r="AYB3" s="272"/>
      <c r="AYC3" s="270"/>
      <c r="AYD3" s="272"/>
      <c r="AYE3" s="270"/>
      <c r="AYF3" s="272"/>
      <c r="AYG3" s="270"/>
      <c r="AYH3" s="272"/>
      <c r="AYI3" s="270"/>
      <c r="AYJ3" s="272"/>
      <c r="AYK3" s="270"/>
      <c r="AYL3" s="272"/>
      <c r="AYM3" s="270"/>
      <c r="AYN3" s="272"/>
      <c r="AYO3" s="270"/>
      <c r="AYP3" s="272"/>
      <c r="AYQ3" s="270"/>
      <c r="AYR3" s="272"/>
      <c r="AYS3" s="270"/>
      <c r="AYT3" s="272"/>
      <c r="AYU3" s="270"/>
      <c r="AYV3" s="272"/>
      <c r="AYW3" s="270"/>
      <c r="AYX3" s="272"/>
      <c r="AYY3" s="270"/>
      <c r="AYZ3" s="272"/>
      <c r="AZA3" s="270"/>
      <c r="AZB3" s="272"/>
      <c r="AZC3" s="270"/>
      <c r="AZD3" s="272"/>
      <c r="AZE3" s="270"/>
      <c r="AZF3" s="272"/>
      <c r="AZG3" s="270"/>
      <c r="AZH3" s="272"/>
      <c r="AZI3" s="270"/>
      <c r="AZJ3" s="272"/>
      <c r="AZK3" s="270"/>
      <c r="AZL3" s="272"/>
      <c r="AZM3" s="270"/>
      <c r="AZN3" s="272"/>
      <c r="AZO3" s="270"/>
      <c r="AZP3" s="272"/>
      <c r="AZQ3" s="270"/>
      <c r="AZR3" s="272"/>
      <c r="AZS3" s="270"/>
      <c r="AZT3" s="272"/>
      <c r="AZU3" s="270"/>
      <c r="AZV3" s="272"/>
      <c r="AZW3" s="270"/>
      <c r="AZX3" s="272"/>
      <c r="AZY3" s="270"/>
      <c r="AZZ3" s="272"/>
      <c r="BAA3" s="270"/>
      <c r="BAB3" s="272"/>
      <c r="BAC3" s="270"/>
      <c r="BAD3" s="272"/>
      <c r="BAE3" s="270"/>
      <c r="BAF3" s="272"/>
      <c r="BAG3" s="270"/>
      <c r="BAH3" s="272"/>
      <c r="BAI3" s="270"/>
      <c r="BAJ3" s="272"/>
      <c r="BAK3" s="270"/>
      <c r="BAL3" s="272"/>
      <c r="BAM3" s="270"/>
      <c r="BAN3" s="272"/>
      <c r="BAO3" s="270"/>
      <c r="BAP3" s="272"/>
      <c r="BAQ3" s="270"/>
      <c r="BAR3" s="272"/>
      <c r="BAS3" s="270"/>
      <c r="BAT3" s="272"/>
      <c r="BAU3" s="270"/>
      <c r="BAV3" s="272"/>
      <c r="BAW3" s="270"/>
      <c r="BAX3" s="272"/>
      <c r="BAY3" s="270"/>
      <c r="BAZ3" s="272"/>
      <c r="BBA3" s="270"/>
      <c r="BBB3" s="272"/>
      <c r="BBC3" s="270"/>
      <c r="BBD3" s="272"/>
      <c r="BBE3" s="270"/>
      <c r="BBF3" s="272"/>
      <c r="BBG3" s="270"/>
      <c r="BBH3" s="272"/>
      <c r="BBI3" s="270"/>
      <c r="BBJ3" s="272"/>
      <c r="BBK3" s="270"/>
      <c r="BBL3" s="272"/>
      <c r="BBM3" s="270"/>
      <c r="BBN3" s="272"/>
      <c r="BBO3" s="270"/>
      <c r="BBP3" s="272"/>
      <c r="BBQ3" s="270"/>
      <c r="BBR3" s="272"/>
      <c r="BBS3" s="270"/>
      <c r="BBT3" s="272"/>
      <c r="BBU3" s="270"/>
      <c r="BBV3" s="272"/>
      <c r="BBW3" s="270"/>
      <c r="BBX3" s="272"/>
      <c r="BBY3" s="270"/>
      <c r="BBZ3" s="272"/>
      <c r="BCA3" s="270"/>
      <c r="BCB3" s="272"/>
      <c r="BCC3" s="270"/>
      <c r="BCD3" s="272"/>
      <c r="BCE3" s="270"/>
      <c r="BCF3" s="272"/>
      <c r="BCG3" s="270"/>
      <c r="BCH3" s="272"/>
      <c r="BCI3" s="270"/>
      <c r="BCJ3" s="272"/>
      <c r="BCK3" s="270"/>
      <c r="BCL3" s="272"/>
      <c r="BCM3" s="270"/>
      <c r="BCN3" s="272"/>
      <c r="BCO3" s="270"/>
      <c r="BCP3" s="272"/>
      <c r="BCQ3" s="270"/>
      <c r="BCR3" s="272"/>
      <c r="BCS3" s="270"/>
      <c r="BCT3" s="272"/>
      <c r="BCU3" s="270"/>
      <c r="BCV3" s="272"/>
      <c r="BCW3" s="270"/>
      <c r="BCX3" s="272"/>
      <c r="BCY3" s="270"/>
      <c r="BCZ3" s="272"/>
      <c r="BDA3" s="270"/>
      <c r="BDB3" s="272"/>
      <c r="BDC3" s="270"/>
      <c r="BDD3" s="272"/>
      <c r="BDE3" s="270"/>
      <c r="BDF3" s="272"/>
      <c r="BDG3" s="270"/>
      <c r="BDH3" s="272"/>
      <c r="BDI3" s="270"/>
      <c r="BDJ3" s="272"/>
      <c r="BDK3" s="270"/>
      <c r="BDL3" s="272"/>
      <c r="BDM3" s="270"/>
      <c r="BDN3" s="272"/>
      <c r="BDO3" s="270"/>
      <c r="BDP3" s="272"/>
      <c r="BDQ3" s="270"/>
      <c r="BDR3" s="272"/>
      <c r="BDS3" s="270"/>
      <c r="BDT3" s="272"/>
      <c r="BDU3" s="270"/>
      <c r="BDV3" s="272"/>
      <c r="BDW3" s="270"/>
      <c r="BDX3" s="272"/>
      <c r="BDY3" s="270"/>
      <c r="BDZ3" s="272"/>
      <c r="BEA3" s="270"/>
      <c r="BEB3" s="272"/>
      <c r="BEC3" s="270"/>
      <c r="BED3" s="272"/>
      <c r="BEE3" s="270"/>
      <c r="BEF3" s="272"/>
      <c r="BEG3" s="270"/>
      <c r="BEH3" s="272"/>
      <c r="BEI3" s="270"/>
      <c r="BEJ3" s="272"/>
      <c r="BEK3" s="270"/>
      <c r="BEL3" s="272"/>
      <c r="BEM3" s="270"/>
      <c r="BEN3" s="272"/>
      <c r="BEO3" s="270"/>
      <c r="BEP3" s="272"/>
      <c r="BEQ3" s="270"/>
      <c r="BER3" s="272"/>
      <c r="BES3" s="270"/>
      <c r="BET3" s="272"/>
      <c r="BEU3" s="270"/>
      <c r="BEV3" s="272"/>
      <c r="BEW3" s="270"/>
      <c r="BEX3" s="272"/>
      <c r="BEY3" s="270"/>
      <c r="BEZ3" s="272"/>
      <c r="BFA3" s="270"/>
      <c r="BFB3" s="272"/>
      <c r="BFC3" s="270"/>
      <c r="BFD3" s="272"/>
      <c r="BFE3" s="270"/>
      <c r="BFF3" s="272"/>
      <c r="BFG3" s="270"/>
      <c r="BFH3" s="272"/>
      <c r="BFI3" s="270"/>
      <c r="BFJ3" s="272"/>
      <c r="BFK3" s="270"/>
      <c r="BFL3" s="272"/>
      <c r="BFM3" s="270"/>
      <c r="BFN3" s="272"/>
      <c r="BFO3" s="270"/>
      <c r="BFP3" s="272"/>
      <c r="BFQ3" s="270"/>
      <c r="BFR3" s="272"/>
      <c r="BFS3" s="270"/>
      <c r="BFT3" s="272"/>
      <c r="BFU3" s="270"/>
      <c r="BFV3" s="272"/>
      <c r="BFW3" s="270"/>
      <c r="BFX3" s="272"/>
      <c r="BFY3" s="270"/>
      <c r="BFZ3" s="272"/>
      <c r="BGA3" s="270"/>
      <c r="BGB3" s="272"/>
      <c r="BGC3" s="270"/>
      <c r="BGD3" s="272"/>
      <c r="BGE3" s="270"/>
      <c r="BGF3" s="272"/>
      <c r="BGG3" s="270"/>
      <c r="BGH3" s="272"/>
      <c r="BGI3" s="270"/>
      <c r="BGJ3" s="272"/>
      <c r="BGK3" s="270"/>
      <c r="BGL3" s="272"/>
      <c r="BGM3" s="270"/>
      <c r="BGN3" s="272"/>
      <c r="BGO3" s="270"/>
      <c r="BGP3" s="272"/>
      <c r="BGQ3" s="270"/>
      <c r="BGR3" s="272"/>
      <c r="BGS3" s="270"/>
      <c r="BGT3" s="272"/>
      <c r="BGU3" s="270"/>
      <c r="BGV3" s="272"/>
      <c r="BGW3" s="270"/>
      <c r="BGX3" s="272"/>
      <c r="BGY3" s="270"/>
      <c r="BGZ3" s="272"/>
      <c r="BHA3" s="270"/>
      <c r="BHB3" s="272"/>
      <c r="BHC3" s="270"/>
      <c r="BHD3" s="272"/>
      <c r="BHE3" s="270"/>
      <c r="BHF3" s="272"/>
      <c r="BHG3" s="270"/>
      <c r="BHH3" s="272"/>
      <c r="BHI3" s="270"/>
      <c r="BHJ3" s="272"/>
      <c r="BHK3" s="270"/>
      <c r="BHL3" s="272"/>
      <c r="BHM3" s="270"/>
      <c r="BHN3" s="272"/>
      <c r="BHO3" s="270"/>
      <c r="BHP3" s="272"/>
      <c r="BHQ3" s="270"/>
      <c r="BHR3" s="272"/>
      <c r="BHS3" s="270"/>
      <c r="BHT3" s="272"/>
      <c r="BHU3" s="270"/>
      <c r="BHV3" s="272"/>
      <c r="BHW3" s="270"/>
      <c r="BHX3" s="272"/>
      <c r="BHY3" s="270"/>
      <c r="BHZ3" s="272"/>
      <c r="BIA3" s="270"/>
      <c r="BIB3" s="272"/>
      <c r="BIC3" s="270"/>
      <c r="BID3" s="272"/>
      <c r="BIE3" s="270"/>
      <c r="BIF3" s="272"/>
      <c r="BIG3" s="270"/>
      <c r="BIH3" s="272"/>
      <c r="BII3" s="270"/>
      <c r="BIJ3" s="272"/>
      <c r="BIK3" s="270"/>
      <c r="BIL3" s="272"/>
      <c r="BIM3" s="270"/>
      <c r="BIN3" s="272"/>
      <c r="BIO3" s="270"/>
      <c r="BIP3" s="272"/>
      <c r="BIQ3" s="270"/>
      <c r="BIR3" s="272"/>
      <c r="BIS3" s="270"/>
      <c r="BIT3" s="272"/>
      <c r="BIU3" s="270"/>
      <c r="BIV3" s="272"/>
      <c r="BIW3" s="270"/>
      <c r="BIX3" s="272"/>
      <c r="BIY3" s="270"/>
      <c r="BIZ3" s="272"/>
      <c r="BJA3" s="270"/>
      <c r="BJB3" s="272"/>
      <c r="BJC3" s="270"/>
      <c r="BJD3" s="272"/>
      <c r="BJE3" s="270"/>
      <c r="BJF3" s="272"/>
      <c r="BJG3" s="270"/>
      <c r="BJH3" s="272"/>
      <c r="BJI3" s="270"/>
      <c r="BJJ3" s="272"/>
      <c r="BJK3" s="270"/>
      <c r="BJL3" s="272"/>
      <c r="BJM3" s="270"/>
      <c r="BJN3" s="272"/>
      <c r="BJO3" s="270"/>
      <c r="BJP3" s="272"/>
      <c r="BJQ3" s="270"/>
      <c r="BJR3" s="272"/>
      <c r="BJS3" s="270"/>
      <c r="BJT3" s="272"/>
      <c r="BJU3" s="270"/>
      <c r="BJV3" s="272"/>
      <c r="BJW3" s="270"/>
      <c r="BJX3" s="272"/>
      <c r="BJY3" s="270"/>
      <c r="BJZ3" s="272"/>
      <c r="BKA3" s="270"/>
      <c r="BKB3" s="272"/>
      <c r="BKC3" s="270"/>
      <c r="BKD3" s="272"/>
      <c r="BKE3" s="270"/>
      <c r="BKF3" s="272"/>
      <c r="BKG3" s="270"/>
      <c r="BKH3" s="272"/>
      <c r="BKI3" s="270"/>
      <c r="BKJ3" s="272"/>
      <c r="BKK3" s="270"/>
      <c r="BKL3" s="272"/>
      <c r="BKM3" s="270"/>
      <c r="BKN3" s="272"/>
      <c r="BKO3" s="270"/>
      <c r="BKP3" s="272"/>
      <c r="BKQ3" s="270"/>
      <c r="BKR3" s="272"/>
      <c r="BKS3" s="270"/>
      <c r="BKT3" s="272"/>
      <c r="BKU3" s="270"/>
      <c r="BKV3" s="272"/>
      <c r="BKW3" s="270"/>
      <c r="BKX3" s="272"/>
      <c r="BKY3" s="270"/>
      <c r="BKZ3" s="272"/>
      <c r="BLA3" s="270"/>
      <c r="BLB3" s="272"/>
      <c r="BLC3" s="270"/>
      <c r="BLD3" s="272"/>
      <c r="BLE3" s="270"/>
      <c r="BLF3" s="272"/>
      <c r="BLG3" s="270"/>
      <c r="BLH3" s="272"/>
      <c r="BLI3" s="270"/>
      <c r="BLJ3" s="272"/>
      <c r="BLK3" s="270"/>
      <c r="BLL3" s="272"/>
      <c r="BLM3" s="270"/>
      <c r="BLN3" s="272"/>
      <c r="BLO3" s="270"/>
      <c r="BLP3" s="272"/>
      <c r="BLQ3" s="270"/>
      <c r="BLR3" s="272"/>
      <c r="BLS3" s="270"/>
      <c r="BLT3" s="272"/>
      <c r="BLU3" s="270"/>
      <c r="BLV3" s="272"/>
      <c r="BLW3" s="270"/>
      <c r="BLX3" s="272"/>
      <c r="BLY3" s="270"/>
      <c r="BLZ3" s="272"/>
      <c r="BMA3" s="270"/>
      <c r="BMB3" s="272"/>
      <c r="BMC3" s="270"/>
      <c r="BMD3" s="272"/>
      <c r="BME3" s="270"/>
      <c r="BMF3" s="272"/>
      <c r="BMG3" s="270"/>
      <c r="BMH3" s="272"/>
      <c r="BMI3" s="270"/>
      <c r="BMJ3" s="272"/>
      <c r="BMK3" s="270"/>
      <c r="BML3" s="272"/>
      <c r="BMM3" s="270"/>
      <c r="BMN3" s="272"/>
      <c r="BMO3" s="270"/>
      <c r="BMP3" s="272"/>
      <c r="BMQ3" s="270"/>
      <c r="BMR3" s="272"/>
      <c r="BMS3" s="270"/>
      <c r="BMT3" s="272"/>
      <c r="BMU3" s="270"/>
      <c r="BMV3" s="272"/>
      <c r="BMW3" s="270"/>
      <c r="BMX3" s="272"/>
      <c r="BMY3" s="270"/>
      <c r="BMZ3" s="272"/>
      <c r="BNA3" s="270"/>
      <c r="BNB3" s="272"/>
      <c r="BNC3" s="270"/>
      <c r="BND3" s="272"/>
      <c r="BNE3" s="270"/>
      <c r="BNF3" s="272"/>
      <c r="BNG3" s="270"/>
      <c r="BNH3" s="272"/>
      <c r="BNI3" s="270"/>
      <c r="BNJ3" s="272"/>
      <c r="BNK3" s="270"/>
      <c r="BNL3" s="272"/>
      <c r="BNM3" s="270"/>
      <c r="BNN3" s="272"/>
      <c r="BNO3" s="270"/>
      <c r="BNP3" s="272"/>
      <c r="BNQ3" s="270"/>
      <c r="BNR3" s="272"/>
      <c r="BNS3" s="270"/>
      <c r="BNT3" s="272"/>
      <c r="BNU3" s="270"/>
      <c r="BNV3" s="272"/>
      <c r="BNW3" s="270"/>
      <c r="BNX3" s="272"/>
      <c r="BNY3" s="270"/>
      <c r="BNZ3" s="272"/>
      <c r="BOA3" s="270"/>
      <c r="BOB3" s="272"/>
      <c r="BOC3" s="270"/>
      <c r="BOD3" s="272"/>
      <c r="BOE3" s="270"/>
      <c r="BOF3" s="272"/>
      <c r="BOG3" s="270"/>
      <c r="BOH3" s="272"/>
      <c r="BOI3" s="270"/>
      <c r="BOJ3" s="272"/>
      <c r="BOK3" s="270"/>
      <c r="BOL3" s="272"/>
      <c r="BOM3" s="270"/>
      <c r="BON3" s="272"/>
      <c r="BOO3" s="270"/>
      <c r="BOP3" s="272"/>
      <c r="BOQ3" s="270"/>
      <c r="BOR3" s="272"/>
      <c r="BOS3" s="270"/>
      <c r="BOT3" s="272"/>
      <c r="BOU3" s="270"/>
      <c r="BOV3" s="272"/>
      <c r="BOW3" s="270"/>
      <c r="BOX3" s="272"/>
      <c r="BOY3" s="270"/>
      <c r="BOZ3" s="272"/>
      <c r="BPA3" s="270"/>
      <c r="BPB3" s="272"/>
      <c r="BPC3" s="270"/>
      <c r="BPD3" s="272"/>
      <c r="BPE3" s="270"/>
      <c r="BPF3" s="272"/>
      <c r="BPG3" s="270"/>
      <c r="BPH3" s="272"/>
      <c r="BPI3" s="270"/>
      <c r="BPJ3" s="272"/>
      <c r="BPK3" s="270"/>
      <c r="BPL3" s="272"/>
      <c r="BPM3" s="270"/>
      <c r="BPN3" s="272"/>
      <c r="BPO3" s="270"/>
      <c r="BPP3" s="272"/>
      <c r="BPQ3" s="270"/>
      <c r="BPR3" s="272"/>
      <c r="BPS3" s="270"/>
      <c r="BPT3" s="272"/>
      <c r="BPU3" s="270"/>
      <c r="BPV3" s="272"/>
      <c r="BPW3" s="270"/>
      <c r="BPX3" s="272"/>
      <c r="BPY3" s="270"/>
      <c r="BPZ3" s="272"/>
      <c r="BQA3" s="270"/>
      <c r="BQB3" s="272"/>
      <c r="BQC3" s="270"/>
      <c r="BQD3" s="272"/>
      <c r="BQE3" s="270"/>
      <c r="BQF3" s="272"/>
      <c r="BQG3" s="270"/>
      <c r="BQH3" s="272"/>
      <c r="BQI3" s="270"/>
      <c r="BQJ3" s="272"/>
      <c r="BQK3" s="270"/>
      <c r="BQL3" s="272"/>
      <c r="BQM3" s="270"/>
      <c r="BQN3" s="272"/>
      <c r="BQO3" s="270"/>
      <c r="BQP3" s="272"/>
      <c r="BQQ3" s="270"/>
      <c r="BQR3" s="272"/>
      <c r="BQS3" s="270"/>
      <c r="BQT3" s="272"/>
      <c r="BQU3" s="270"/>
      <c r="BQV3" s="272"/>
      <c r="BQW3" s="270"/>
      <c r="BQX3" s="272"/>
      <c r="BQY3" s="270"/>
      <c r="BQZ3" s="272"/>
      <c r="BRA3" s="270"/>
      <c r="BRB3" s="272"/>
      <c r="BRC3" s="270"/>
      <c r="BRD3" s="272"/>
      <c r="BRE3" s="270"/>
      <c r="BRF3" s="272"/>
      <c r="BRG3" s="270"/>
      <c r="BRH3" s="272"/>
      <c r="BRI3" s="270"/>
      <c r="BRJ3" s="272"/>
      <c r="BRK3" s="270"/>
      <c r="BRL3" s="272"/>
      <c r="BRM3" s="270"/>
      <c r="BRN3" s="272"/>
      <c r="BRO3" s="270"/>
      <c r="BRP3" s="272"/>
      <c r="BRQ3" s="270"/>
      <c r="BRR3" s="272"/>
      <c r="BRS3" s="270"/>
      <c r="BRT3" s="272"/>
      <c r="BRU3" s="270"/>
      <c r="BRV3" s="272"/>
      <c r="BRW3" s="270"/>
      <c r="BRX3" s="272"/>
      <c r="BRY3" s="270"/>
      <c r="BRZ3" s="272"/>
      <c r="BSA3" s="270"/>
      <c r="BSB3" s="272"/>
      <c r="BSC3" s="270"/>
      <c r="BSD3" s="272"/>
      <c r="BSE3" s="270"/>
      <c r="BSF3" s="272"/>
      <c r="BSG3" s="270"/>
      <c r="BSH3" s="272"/>
      <c r="BSI3" s="270"/>
      <c r="BSJ3" s="272"/>
      <c r="BSK3" s="270"/>
      <c r="BSL3" s="272"/>
      <c r="BSM3" s="270"/>
      <c r="BSN3" s="272"/>
      <c r="BSO3" s="270"/>
      <c r="BSP3" s="272"/>
      <c r="BSQ3" s="270"/>
      <c r="BSR3" s="272"/>
      <c r="BSS3" s="270"/>
      <c r="BST3" s="272"/>
      <c r="BSU3" s="270"/>
      <c r="BSV3" s="272"/>
      <c r="BSW3" s="270"/>
      <c r="BSX3" s="272"/>
      <c r="BSY3" s="270"/>
      <c r="BSZ3" s="272"/>
      <c r="BTA3" s="270"/>
      <c r="BTB3" s="272"/>
      <c r="BTC3" s="270"/>
      <c r="BTD3" s="272"/>
      <c r="BTE3" s="270"/>
      <c r="BTF3" s="272"/>
      <c r="BTG3" s="270"/>
      <c r="BTH3" s="272"/>
      <c r="BTI3" s="270"/>
      <c r="BTJ3" s="272"/>
      <c r="BTK3" s="270"/>
      <c r="BTL3" s="272"/>
      <c r="BTM3" s="270"/>
      <c r="BTN3" s="272"/>
      <c r="BTO3" s="270"/>
      <c r="BTP3" s="272"/>
      <c r="BTQ3" s="270"/>
      <c r="BTR3" s="272"/>
      <c r="BTS3" s="270"/>
      <c r="BTT3" s="272"/>
      <c r="BTU3" s="270"/>
      <c r="BTV3" s="272"/>
      <c r="BTW3" s="270"/>
      <c r="BTX3" s="272"/>
      <c r="BTY3" s="270"/>
      <c r="BTZ3" s="272"/>
      <c r="BUA3" s="270"/>
      <c r="BUB3" s="272"/>
      <c r="BUC3" s="270"/>
      <c r="BUD3" s="272"/>
      <c r="BUE3" s="270"/>
      <c r="BUF3" s="272"/>
      <c r="BUG3" s="270"/>
      <c r="BUH3" s="272"/>
      <c r="BUI3" s="270"/>
      <c r="BUJ3" s="272"/>
      <c r="BUK3" s="270"/>
      <c r="BUL3" s="272"/>
      <c r="BUM3" s="270"/>
      <c r="BUN3" s="272"/>
      <c r="BUO3" s="270"/>
      <c r="BUP3" s="272"/>
      <c r="BUQ3" s="270"/>
      <c r="BUR3" s="272"/>
      <c r="BUS3" s="270"/>
      <c r="BUT3" s="272"/>
      <c r="BUU3" s="270"/>
      <c r="BUV3" s="272"/>
      <c r="BUW3" s="270"/>
      <c r="BUX3" s="272"/>
      <c r="BUY3" s="270"/>
      <c r="BUZ3" s="272"/>
      <c r="BVA3" s="270"/>
      <c r="BVB3" s="272"/>
      <c r="BVC3" s="270"/>
      <c r="BVD3" s="272"/>
      <c r="BVE3" s="270"/>
      <c r="BVF3" s="272"/>
      <c r="BVG3" s="270"/>
      <c r="BVH3" s="272"/>
      <c r="BVI3" s="270"/>
      <c r="BVJ3" s="272"/>
      <c r="BVK3" s="270"/>
      <c r="BVL3" s="272"/>
      <c r="BVM3" s="270"/>
      <c r="BVN3" s="272"/>
      <c r="BVO3" s="270"/>
      <c r="BVP3" s="272"/>
      <c r="BVQ3" s="270"/>
      <c r="BVR3" s="272"/>
      <c r="BVS3" s="270"/>
      <c r="BVT3" s="272"/>
      <c r="BVU3" s="270"/>
      <c r="BVV3" s="272"/>
      <c r="BVW3" s="270"/>
      <c r="BVX3" s="272"/>
      <c r="BVY3" s="270"/>
      <c r="BVZ3" s="272"/>
      <c r="BWA3" s="270"/>
      <c r="BWB3" s="272"/>
      <c r="BWC3" s="270"/>
      <c r="BWD3" s="272"/>
      <c r="BWE3" s="270"/>
      <c r="BWF3" s="272"/>
      <c r="BWG3" s="270"/>
      <c r="BWH3" s="272"/>
      <c r="BWI3" s="270"/>
      <c r="BWJ3" s="272"/>
      <c r="BWK3" s="270"/>
      <c r="BWL3" s="272"/>
      <c r="BWM3" s="270"/>
      <c r="BWN3" s="272"/>
      <c r="BWO3" s="270"/>
      <c r="BWP3" s="272"/>
      <c r="BWQ3" s="270"/>
      <c r="BWR3" s="272"/>
      <c r="BWS3" s="270"/>
      <c r="BWT3" s="272"/>
      <c r="BWU3" s="270"/>
      <c r="BWV3" s="272"/>
      <c r="BWW3" s="270"/>
      <c r="BWX3" s="272"/>
      <c r="BWY3" s="270"/>
      <c r="BWZ3" s="272"/>
      <c r="BXA3" s="270"/>
      <c r="BXB3" s="272"/>
      <c r="BXC3" s="270"/>
      <c r="BXD3" s="272"/>
      <c r="BXE3" s="270"/>
      <c r="BXF3" s="272"/>
      <c r="BXG3" s="270"/>
      <c r="BXH3" s="272"/>
      <c r="BXI3" s="270"/>
      <c r="BXJ3" s="272"/>
      <c r="BXK3" s="270"/>
      <c r="BXL3" s="272"/>
      <c r="BXM3" s="270"/>
      <c r="BXN3" s="272"/>
      <c r="BXO3" s="270"/>
      <c r="BXP3" s="272"/>
      <c r="BXQ3" s="270"/>
      <c r="BXR3" s="272"/>
      <c r="BXS3" s="270"/>
      <c r="BXT3" s="272"/>
      <c r="BXU3" s="270"/>
      <c r="BXV3" s="272"/>
      <c r="BXW3" s="270"/>
      <c r="BXX3" s="272"/>
      <c r="BXY3" s="270"/>
      <c r="BXZ3" s="272"/>
      <c r="BYA3" s="270"/>
      <c r="BYB3" s="272"/>
      <c r="BYC3" s="270"/>
      <c r="BYD3" s="272"/>
      <c r="BYE3" s="270"/>
      <c r="BYF3" s="272"/>
      <c r="BYG3" s="270"/>
      <c r="BYH3" s="272"/>
      <c r="BYI3" s="270"/>
      <c r="BYJ3" s="272"/>
      <c r="BYK3" s="270"/>
      <c r="BYL3" s="272"/>
      <c r="BYM3" s="270"/>
      <c r="BYN3" s="272"/>
      <c r="BYO3" s="270"/>
      <c r="BYP3" s="272"/>
      <c r="BYQ3" s="270"/>
      <c r="BYR3" s="272"/>
      <c r="BYS3" s="270"/>
      <c r="BYT3" s="272"/>
      <c r="BYU3" s="270"/>
      <c r="BYV3" s="272"/>
      <c r="BYW3" s="270"/>
      <c r="BYX3" s="272"/>
      <c r="BYY3" s="270"/>
      <c r="BYZ3" s="272"/>
      <c r="BZA3" s="270"/>
      <c r="BZB3" s="272"/>
      <c r="BZC3" s="270"/>
      <c r="BZD3" s="272"/>
      <c r="BZE3" s="270"/>
      <c r="BZF3" s="272"/>
      <c r="BZG3" s="270"/>
      <c r="BZH3" s="272"/>
      <c r="BZI3" s="270"/>
      <c r="BZJ3" s="272"/>
      <c r="BZK3" s="270"/>
      <c r="BZL3" s="272"/>
      <c r="BZM3" s="270"/>
      <c r="BZN3" s="272"/>
      <c r="BZO3" s="270"/>
      <c r="BZP3" s="272"/>
      <c r="BZQ3" s="270"/>
      <c r="BZR3" s="272"/>
      <c r="BZS3" s="270"/>
      <c r="BZT3" s="272"/>
      <c r="BZU3" s="270"/>
      <c r="BZV3" s="272"/>
      <c r="BZW3" s="270"/>
      <c r="BZX3" s="272"/>
      <c r="BZY3" s="270"/>
      <c r="BZZ3" s="272"/>
      <c r="CAA3" s="270"/>
      <c r="CAB3" s="272"/>
      <c r="CAC3" s="270"/>
      <c r="CAD3" s="272"/>
      <c r="CAE3" s="270"/>
      <c r="CAF3" s="272"/>
      <c r="CAG3" s="270"/>
      <c r="CAH3" s="272"/>
      <c r="CAI3" s="270"/>
      <c r="CAJ3" s="272"/>
      <c r="CAK3" s="270"/>
      <c r="CAL3" s="272"/>
      <c r="CAM3" s="270"/>
      <c r="CAN3" s="272"/>
      <c r="CAO3" s="270"/>
      <c r="CAP3" s="272"/>
      <c r="CAQ3" s="270"/>
      <c r="CAR3" s="272"/>
      <c r="CAS3" s="270"/>
      <c r="CAT3" s="272"/>
      <c r="CAU3" s="270"/>
      <c r="CAV3" s="272"/>
      <c r="CAW3" s="270"/>
      <c r="CAX3" s="272"/>
      <c r="CAY3" s="270"/>
      <c r="CAZ3" s="272"/>
      <c r="CBA3" s="270"/>
      <c r="CBB3" s="272"/>
      <c r="CBC3" s="270"/>
      <c r="CBD3" s="272"/>
      <c r="CBE3" s="270"/>
      <c r="CBF3" s="272"/>
      <c r="CBG3" s="270"/>
      <c r="CBH3" s="272"/>
      <c r="CBI3" s="270"/>
      <c r="CBJ3" s="272"/>
      <c r="CBK3" s="270"/>
      <c r="CBL3" s="272"/>
      <c r="CBM3" s="270"/>
      <c r="CBN3" s="272"/>
      <c r="CBO3" s="270"/>
      <c r="CBP3" s="272"/>
      <c r="CBQ3" s="270"/>
      <c r="CBR3" s="272"/>
      <c r="CBS3" s="270"/>
      <c r="CBT3" s="272"/>
      <c r="CBU3" s="270"/>
      <c r="CBV3" s="272"/>
      <c r="CBW3" s="270"/>
      <c r="CBX3" s="272"/>
      <c r="CBY3" s="270"/>
      <c r="CBZ3" s="272"/>
      <c r="CCA3" s="270"/>
      <c r="CCB3" s="272"/>
      <c r="CCC3" s="270"/>
      <c r="CCD3" s="272"/>
      <c r="CCE3" s="270"/>
      <c r="CCF3" s="272"/>
      <c r="CCG3" s="270"/>
      <c r="CCH3" s="272"/>
      <c r="CCI3" s="270"/>
      <c r="CCJ3" s="272"/>
      <c r="CCK3" s="270"/>
      <c r="CCL3" s="272"/>
      <c r="CCM3" s="270"/>
      <c r="CCN3" s="272"/>
      <c r="CCO3" s="270"/>
      <c r="CCP3" s="272"/>
      <c r="CCQ3" s="270"/>
      <c r="CCR3" s="272"/>
      <c r="CCS3" s="270"/>
      <c r="CCT3" s="272"/>
      <c r="CCU3" s="270"/>
      <c r="CCV3" s="272"/>
      <c r="CCW3" s="270"/>
      <c r="CCX3" s="272"/>
      <c r="CCY3" s="270"/>
      <c r="CCZ3" s="272"/>
      <c r="CDA3" s="270"/>
      <c r="CDB3" s="272"/>
      <c r="CDC3" s="270"/>
      <c r="CDD3" s="272"/>
      <c r="CDE3" s="270"/>
      <c r="CDF3" s="272"/>
      <c r="CDG3" s="270"/>
      <c r="CDH3" s="272"/>
      <c r="CDI3" s="270"/>
      <c r="CDJ3" s="272"/>
      <c r="CDK3" s="270"/>
      <c r="CDL3" s="272"/>
      <c r="CDM3" s="270"/>
      <c r="CDN3" s="272"/>
      <c r="CDO3" s="270"/>
      <c r="CDP3" s="272"/>
      <c r="CDQ3" s="270"/>
      <c r="CDR3" s="272"/>
      <c r="CDS3" s="270"/>
      <c r="CDT3" s="272"/>
      <c r="CDU3" s="270"/>
      <c r="CDV3" s="272"/>
      <c r="CDW3" s="270"/>
      <c r="CDX3" s="272"/>
      <c r="CDY3" s="270"/>
      <c r="CDZ3" s="272"/>
      <c r="CEA3" s="270"/>
      <c r="CEB3" s="272"/>
      <c r="CEC3" s="270"/>
      <c r="CED3" s="272"/>
      <c r="CEE3" s="270"/>
      <c r="CEF3" s="272"/>
      <c r="CEG3" s="270"/>
      <c r="CEH3" s="272"/>
      <c r="CEI3" s="270"/>
      <c r="CEJ3" s="272"/>
      <c r="CEK3" s="270"/>
      <c r="CEL3" s="272"/>
      <c r="CEM3" s="270"/>
      <c r="CEN3" s="272"/>
      <c r="CEO3" s="270"/>
      <c r="CEP3" s="272"/>
      <c r="CEQ3" s="270"/>
      <c r="CER3" s="272"/>
      <c r="CES3" s="270"/>
      <c r="CET3" s="272"/>
      <c r="CEU3" s="270"/>
      <c r="CEV3" s="272"/>
      <c r="CEW3" s="270"/>
      <c r="CEX3" s="272"/>
      <c r="CEY3" s="270"/>
      <c r="CEZ3" s="272"/>
      <c r="CFA3" s="270"/>
      <c r="CFB3" s="272"/>
      <c r="CFC3" s="270"/>
      <c r="CFD3" s="272"/>
      <c r="CFE3" s="270"/>
      <c r="CFF3" s="272"/>
      <c r="CFG3" s="270"/>
      <c r="CFH3" s="272"/>
      <c r="CFI3" s="270"/>
      <c r="CFJ3" s="272"/>
      <c r="CFK3" s="270"/>
      <c r="CFL3" s="272"/>
      <c r="CFM3" s="270"/>
      <c r="CFN3" s="272"/>
      <c r="CFO3" s="270"/>
      <c r="CFP3" s="272"/>
      <c r="CFQ3" s="270"/>
      <c r="CFR3" s="272"/>
      <c r="CFS3" s="270"/>
      <c r="CFT3" s="272"/>
      <c r="CFU3" s="270"/>
      <c r="CFV3" s="272"/>
      <c r="CFW3" s="270"/>
      <c r="CFX3" s="272"/>
      <c r="CFY3" s="270"/>
      <c r="CFZ3" s="272"/>
      <c r="CGA3" s="270"/>
      <c r="CGB3" s="272"/>
      <c r="CGC3" s="270"/>
      <c r="CGD3" s="272"/>
      <c r="CGE3" s="270"/>
      <c r="CGF3" s="272"/>
      <c r="CGG3" s="270"/>
      <c r="CGH3" s="272"/>
      <c r="CGI3" s="270"/>
      <c r="CGJ3" s="272"/>
      <c r="CGK3" s="270"/>
      <c r="CGL3" s="272"/>
      <c r="CGM3" s="270"/>
      <c r="CGN3" s="272"/>
      <c r="CGO3" s="270"/>
      <c r="CGP3" s="272"/>
      <c r="CGQ3" s="270"/>
      <c r="CGR3" s="272"/>
      <c r="CGS3" s="270"/>
      <c r="CGT3" s="272"/>
      <c r="CGU3" s="270"/>
      <c r="CGV3" s="272"/>
      <c r="CGW3" s="270"/>
      <c r="CGX3" s="272"/>
      <c r="CGY3" s="270"/>
      <c r="CGZ3" s="272"/>
      <c r="CHA3" s="270"/>
      <c r="CHB3" s="272"/>
      <c r="CHC3" s="270"/>
      <c r="CHD3" s="272"/>
      <c r="CHE3" s="270"/>
      <c r="CHF3" s="272"/>
      <c r="CHG3" s="270"/>
      <c r="CHH3" s="272"/>
      <c r="CHI3" s="270"/>
      <c r="CHJ3" s="272"/>
      <c r="CHK3" s="270"/>
      <c r="CHL3" s="272"/>
      <c r="CHM3" s="270"/>
      <c r="CHN3" s="272"/>
      <c r="CHO3" s="270"/>
      <c r="CHP3" s="272"/>
      <c r="CHQ3" s="270"/>
      <c r="CHR3" s="272"/>
      <c r="CHS3" s="270"/>
      <c r="CHT3" s="272"/>
      <c r="CHU3" s="270"/>
      <c r="CHV3" s="272"/>
      <c r="CHW3" s="270"/>
      <c r="CHX3" s="272"/>
      <c r="CHY3" s="270"/>
      <c r="CHZ3" s="272"/>
      <c r="CIA3" s="270"/>
      <c r="CIB3" s="272"/>
      <c r="CIC3" s="270"/>
      <c r="CID3" s="272"/>
      <c r="CIE3" s="270"/>
      <c r="CIF3" s="272"/>
      <c r="CIG3" s="270"/>
      <c r="CIH3" s="272"/>
      <c r="CII3" s="270"/>
      <c r="CIJ3" s="272"/>
      <c r="CIK3" s="270"/>
      <c r="CIL3" s="272"/>
      <c r="CIM3" s="270"/>
      <c r="CIN3" s="272"/>
      <c r="CIO3" s="270"/>
      <c r="CIP3" s="272"/>
      <c r="CIQ3" s="270"/>
      <c r="CIR3" s="272"/>
      <c r="CIS3" s="270"/>
      <c r="CIT3" s="272"/>
      <c r="CIU3" s="270"/>
      <c r="CIV3" s="272"/>
      <c r="CIW3" s="270"/>
      <c r="CIX3" s="272"/>
      <c r="CIY3" s="270"/>
      <c r="CIZ3" s="272"/>
      <c r="CJA3" s="270"/>
      <c r="CJB3" s="272"/>
      <c r="CJC3" s="270"/>
      <c r="CJD3" s="272"/>
      <c r="CJE3" s="270"/>
      <c r="CJF3" s="272"/>
      <c r="CJG3" s="270"/>
      <c r="CJH3" s="272"/>
      <c r="CJI3" s="270"/>
      <c r="CJJ3" s="272"/>
      <c r="CJK3" s="270"/>
      <c r="CJL3" s="272"/>
      <c r="CJM3" s="270"/>
      <c r="CJN3" s="272"/>
      <c r="CJO3" s="270"/>
      <c r="CJP3" s="272"/>
      <c r="CJQ3" s="270"/>
      <c r="CJR3" s="272"/>
      <c r="CJS3" s="270"/>
      <c r="CJT3" s="272"/>
      <c r="CJU3" s="270"/>
      <c r="CJV3" s="272"/>
      <c r="CJW3" s="270"/>
      <c r="CJX3" s="272"/>
      <c r="CJY3" s="270"/>
      <c r="CJZ3" s="272"/>
      <c r="CKA3" s="270"/>
      <c r="CKB3" s="272"/>
      <c r="CKC3" s="270"/>
      <c r="CKD3" s="272"/>
      <c r="CKE3" s="270"/>
      <c r="CKF3" s="272"/>
      <c r="CKG3" s="270"/>
      <c r="CKH3" s="272"/>
      <c r="CKI3" s="270"/>
      <c r="CKJ3" s="272"/>
      <c r="CKK3" s="270"/>
      <c r="CKL3" s="272"/>
      <c r="CKM3" s="270"/>
      <c r="CKN3" s="272"/>
      <c r="CKO3" s="270"/>
      <c r="CKP3" s="272"/>
      <c r="CKQ3" s="270"/>
      <c r="CKR3" s="272"/>
      <c r="CKS3" s="270"/>
      <c r="CKT3" s="272"/>
      <c r="CKU3" s="270"/>
      <c r="CKV3" s="272"/>
      <c r="CKW3" s="270"/>
      <c r="CKX3" s="272"/>
      <c r="CKY3" s="270"/>
      <c r="CKZ3" s="272"/>
      <c r="CLA3" s="270"/>
      <c r="CLB3" s="272"/>
      <c r="CLC3" s="270"/>
      <c r="CLD3" s="272"/>
      <c r="CLE3" s="270"/>
      <c r="CLF3" s="272"/>
      <c r="CLG3" s="270"/>
      <c r="CLH3" s="272"/>
      <c r="CLI3" s="270"/>
      <c r="CLJ3" s="272"/>
      <c r="CLK3" s="270"/>
      <c r="CLL3" s="272"/>
      <c r="CLM3" s="270"/>
      <c r="CLN3" s="272"/>
      <c r="CLO3" s="270"/>
      <c r="CLP3" s="272"/>
      <c r="CLQ3" s="270"/>
      <c r="CLR3" s="272"/>
      <c r="CLS3" s="270"/>
      <c r="CLT3" s="272"/>
      <c r="CLU3" s="270"/>
      <c r="CLV3" s="272"/>
      <c r="CLW3" s="270"/>
      <c r="CLX3" s="272"/>
      <c r="CLY3" s="270"/>
      <c r="CLZ3" s="272"/>
      <c r="CMA3" s="270"/>
      <c r="CMB3" s="272"/>
      <c r="CMC3" s="270"/>
      <c r="CMD3" s="272"/>
      <c r="CME3" s="270"/>
      <c r="CMF3" s="272"/>
      <c r="CMG3" s="270"/>
      <c r="CMH3" s="272"/>
      <c r="CMI3" s="270"/>
      <c r="CMJ3" s="272"/>
      <c r="CMK3" s="270"/>
      <c r="CML3" s="272"/>
      <c r="CMM3" s="270"/>
      <c r="CMN3" s="272"/>
      <c r="CMO3" s="270"/>
      <c r="CMP3" s="272"/>
      <c r="CMQ3" s="270"/>
      <c r="CMR3" s="272"/>
      <c r="CMS3" s="270"/>
      <c r="CMT3" s="272"/>
      <c r="CMU3" s="270"/>
      <c r="CMV3" s="272"/>
      <c r="CMW3" s="270"/>
      <c r="CMX3" s="272"/>
      <c r="CMY3" s="270"/>
      <c r="CMZ3" s="272"/>
      <c r="CNA3" s="270"/>
      <c r="CNB3" s="272"/>
      <c r="CNC3" s="270"/>
      <c r="CND3" s="272"/>
      <c r="CNE3" s="270"/>
      <c r="CNF3" s="272"/>
      <c r="CNG3" s="270"/>
      <c r="CNH3" s="272"/>
      <c r="CNI3" s="270"/>
      <c r="CNJ3" s="272"/>
      <c r="CNK3" s="270"/>
      <c r="CNL3" s="272"/>
      <c r="CNM3" s="270"/>
      <c r="CNN3" s="272"/>
      <c r="CNO3" s="270"/>
      <c r="CNP3" s="272"/>
      <c r="CNQ3" s="270"/>
      <c r="CNR3" s="272"/>
      <c r="CNS3" s="270"/>
      <c r="CNT3" s="272"/>
      <c r="CNU3" s="270"/>
      <c r="CNV3" s="272"/>
      <c r="CNW3" s="270"/>
      <c r="CNX3" s="272"/>
      <c r="CNY3" s="270"/>
      <c r="CNZ3" s="272"/>
      <c r="COA3" s="270"/>
      <c r="COB3" s="272"/>
      <c r="COC3" s="270"/>
      <c r="COD3" s="272"/>
      <c r="COE3" s="270"/>
      <c r="COF3" s="272"/>
      <c r="COG3" s="270"/>
      <c r="COH3" s="272"/>
      <c r="COI3" s="270"/>
      <c r="COJ3" s="272"/>
      <c r="COK3" s="270"/>
      <c r="COL3" s="272"/>
      <c r="COM3" s="270"/>
      <c r="CON3" s="272"/>
      <c r="COO3" s="270"/>
      <c r="COP3" s="272"/>
      <c r="COQ3" s="270"/>
      <c r="COR3" s="272"/>
      <c r="COS3" s="270"/>
      <c r="COT3" s="272"/>
      <c r="COU3" s="270"/>
      <c r="COV3" s="272"/>
      <c r="COW3" s="270"/>
      <c r="COX3" s="272"/>
      <c r="COY3" s="270"/>
      <c r="COZ3" s="272"/>
      <c r="CPA3" s="270"/>
      <c r="CPB3" s="272"/>
      <c r="CPC3" s="270"/>
      <c r="CPD3" s="272"/>
      <c r="CPE3" s="270"/>
      <c r="CPF3" s="272"/>
      <c r="CPG3" s="270"/>
      <c r="CPH3" s="272"/>
      <c r="CPI3" s="270"/>
      <c r="CPJ3" s="272"/>
      <c r="CPK3" s="270"/>
      <c r="CPL3" s="272"/>
      <c r="CPM3" s="270"/>
      <c r="CPN3" s="272"/>
      <c r="CPO3" s="270"/>
      <c r="CPP3" s="272"/>
      <c r="CPQ3" s="270"/>
      <c r="CPR3" s="272"/>
      <c r="CPS3" s="270"/>
      <c r="CPT3" s="272"/>
      <c r="CPU3" s="270"/>
      <c r="CPV3" s="272"/>
      <c r="CPW3" s="270"/>
      <c r="CPX3" s="272"/>
      <c r="CPY3" s="270"/>
      <c r="CPZ3" s="272"/>
      <c r="CQA3" s="270"/>
      <c r="CQB3" s="272"/>
      <c r="CQC3" s="270"/>
      <c r="CQD3" s="272"/>
      <c r="CQE3" s="270"/>
      <c r="CQF3" s="272"/>
      <c r="CQG3" s="270"/>
      <c r="CQH3" s="272"/>
      <c r="CQI3" s="270"/>
      <c r="CQJ3" s="272"/>
      <c r="CQK3" s="270"/>
      <c r="CQL3" s="272"/>
      <c r="CQM3" s="270"/>
      <c r="CQN3" s="272"/>
      <c r="CQO3" s="270"/>
      <c r="CQP3" s="272"/>
      <c r="CQQ3" s="270"/>
      <c r="CQR3" s="272"/>
      <c r="CQS3" s="270"/>
      <c r="CQT3" s="272"/>
      <c r="CQU3" s="270"/>
      <c r="CQV3" s="272"/>
      <c r="CQW3" s="270"/>
      <c r="CQX3" s="272"/>
      <c r="CQY3" s="270"/>
      <c r="CQZ3" s="272"/>
      <c r="CRA3" s="270"/>
      <c r="CRB3" s="272"/>
      <c r="CRC3" s="270"/>
      <c r="CRD3" s="272"/>
      <c r="CRE3" s="270"/>
      <c r="CRF3" s="272"/>
      <c r="CRG3" s="270"/>
      <c r="CRH3" s="272"/>
      <c r="CRI3" s="270"/>
      <c r="CRJ3" s="272"/>
      <c r="CRK3" s="270"/>
      <c r="CRL3" s="272"/>
      <c r="CRM3" s="270"/>
      <c r="CRN3" s="272"/>
      <c r="CRO3" s="270"/>
      <c r="CRP3" s="272"/>
      <c r="CRQ3" s="270"/>
      <c r="CRR3" s="272"/>
      <c r="CRS3" s="270"/>
      <c r="CRT3" s="272"/>
      <c r="CRU3" s="270"/>
      <c r="CRV3" s="272"/>
      <c r="CRW3" s="270"/>
      <c r="CRX3" s="272"/>
      <c r="CRY3" s="270"/>
      <c r="CRZ3" s="272"/>
      <c r="CSA3" s="270"/>
      <c r="CSB3" s="272"/>
      <c r="CSC3" s="270"/>
      <c r="CSD3" s="272"/>
      <c r="CSE3" s="270"/>
      <c r="CSF3" s="272"/>
      <c r="CSG3" s="270"/>
      <c r="CSH3" s="272"/>
      <c r="CSI3" s="270"/>
      <c r="CSJ3" s="272"/>
      <c r="CSK3" s="270"/>
      <c r="CSL3" s="272"/>
      <c r="CSM3" s="270"/>
      <c r="CSN3" s="272"/>
      <c r="CSO3" s="270"/>
      <c r="CSP3" s="272"/>
      <c r="CSQ3" s="270"/>
      <c r="CSR3" s="272"/>
      <c r="CSS3" s="270"/>
      <c r="CST3" s="272"/>
      <c r="CSU3" s="270"/>
      <c r="CSV3" s="272"/>
      <c r="CSW3" s="270"/>
      <c r="CSX3" s="272"/>
      <c r="CSY3" s="270"/>
      <c r="CSZ3" s="272"/>
      <c r="CTA3" s="270"/>
      <c r="CTB3" s="272"/>
      <c r="CTC3" s="270"/>
      <c r="CTD3" s="272"/>
      <c r="CTE3" s="270"/>
      <c r="CTF3" s="272"/>
      <c r="CTG3" s="270"/>
      <c r="CTH3" s="272"/>
      <c r="CTI3" s="270"/>
      <c r="CTJ3" s="272"/>
      <c r="CTK3" s="270"/>
      <c r="CTL3" s="272"/>
      <c r="CTM3" s="270"/>
      <c r="CTN3" s="272"/>
      <c r="CTO3" s="270"/>
      <c r="CTP3" s="272"/>
      <c r="CTQ3" s="270"/>
      <c r="CTR3" s="272"/>
      <c r="CTS3" s="270"/>
      <c r="CTT3" s="272"/>
      <c r="CTU3" s="270"/>
      <c r="CTV3" s="272"/>
      <c r="CTW3" s="270"/>
      <c r="CTX3" s="272"/>
      <c r="CTY3" s="270"/>
      <c r="CTZ3" s="272"/>
      <c r="CUA3" s="270"/>
      <c r="CUB3" s="272"/>
      <c r="CUC3" s="270"/>
      <c r="CUD3" s="272"/>
      <c r="CUE3" s="270"/>
      <c r="CUF3" s="272"/>
      <c r="CUG3" s="270"/>
      <c r="CUH3" s="272"/>
      <c r="CUI3" s="270"/>
      <c r="CUJ3" s="272"/>
      <c r="CUK3" s="270"/>
      <c r="CUL3" s="272"/>
      <c r="CUM3" s="270"/>
      <c r="CUN3" s="272"/>
      <c r="CUO3" s="270"/>
      <c r="CUP3" s="272"/>
      <c r="CUQ3" s="270"/>
      <c r="CUR3" s="272"/>
      <c r="CUS3" s="270"/>
      <c r="CUT3" s="272"/>
      <c r="CUU3" s="270"/>
      <c r="CUV3" s="272"/>
      <c r="CUW3" s="270"/>
      <c r="CUX3" s="272"/>
      <c r="CUY3" s="270"/>
      <c r="CUZ3" s="272"/>
      <c r="CVA3" s="270"/>
      <c r="CVB3" s="272"/>
      <c r="CVC3" s="270"/>
      <c r="CVD3" s="272"/>
      <c r="CVE3" s="270"/>
      <c r="CVF3" s="272"/>
      <c r="CVG3" s="270"/>
      <c r="CVH3" s="272"/>
      <c r="CVI3" s="270"/>
      <c r="CVJ3" s="272"/>
      <c r="CVK3" s="270"/>
      <c r="CVL3" s="272"/>
      <c r="CVM3" s="270"/>
      <c r="CVN3" s="272"/>
      <c r="CVO3" s="270"/>
      <c r="CVP3" s="272"/>
      <c r="CVQ3" s="270"/>
      <c r="CVR3" s="272"/>
      <c r="CVS3" s="270"/>
      <c r="CVT3" s="272"/>
      <c r="CVU3" s="270"/>
      <c r="CVV3" s="272"/>
      <c r="CVW3" s="270"/>
      <c r="CVX3" s="272"/>
      <c r="CVY3" s="270"/>
      <c r="CVZ3" s="272"/>
      <c r="CWA3" s="270"/>
      <c r="CWB3" s="272"/>
      <c r="CWC3" s="270"/>
      <c r="CWD3" s="272"/>
      <c r="CWE3" s="270"/>
      <c r="CWF3" s="272"/>
      <c r="CWG3" s="270"/>
      <c r="CWH3" s="272"/>
      <c r="CWI3" s="270"/>
      <c r="CWJ3" s="272"/>
      <c r="CWK3" s="270"/>
      <c r="CWL3" s="272"/>
      <c r="CWM3" s="270"/>
      <c r="CWN3" s="272"/>
      <c r="CWO3" s="270"/>
      <c r="CWP3" s="272"/>
      <c r="CWQ3" s="270"/>
      <c r="CWR3" s="272"/>
      <c r="CWS3" s="270"/>
      <c r="CWT3" s="272"/>
      <c r="CWU3" s="270"/>
      <c r="CWV3" s="272"/>
      <c r="CWW3" s="270"/>
      <c r="CWX3" s="272"/>
      <c r="CWY3" s="270"/>
      <c r="CWZ3" s="272"/>
      <c r="CXA3" s="270"/>
      <c r="CXB3" s="272"/>
      <c r="CXC3" s="270"/>
      <c r="CXD3" s="272"/>
      <c r="CXE3" s="270"/>
      <c r="CXF3" s="272"/>
      <c r="CXG3" s="270"/>
      <c r="CXH3" s="272"/>
      <c r="CXI3" s="270"/>
      <c r="CXJ3" s="272"/>
      <c r="CXK3" s="270"/>
      <c r="CXL3" s="272"/>
      <c r="CXM3" s="270"/>
      <c r="CXN3" s="272"/>
      <c r="CXO3" s="270"/>
      <c r="CXP3" s="272"/>
      <c r="CXQ3" s="270"/>
      <c r="CXR3" s="272"/>
      <c r="CXS3" s="270"/>
      <c r="CXT3" s="272"/>
      <c r="CXU3" s="270"/>
      <c r="CXV3" s="272"/>
      <c r="CXW3" s="270"/>
      <c r="CXX3" s="272"/>
      <c r="CXY3" s="270"/>
      <c r="CXZ3" s="272"/>
      <c r="CYA3" s="270"/>
      <c r="CYB3" s="272"/>
      <c r="CYC3" s="270"/>
      <c r="CYD3" s="272"/>
      <c r="CYE3" s="270"/>
      <c r="CYF3" s="272"/>
      <c r="CYG3" s="270"/>
      <c r="CYH3" s="272"/>
      <c r="CYI3" s="270"/>
      <c r="CYJ3" s="272"/>
      <c r="CYK3" s="270"/>
      <c r="CYL3" s="272"/>
      <c r="CYM3" s="270"/>
      <c r="CYN3" s="272"/>
      <c r="CYO3" s="270"/>
      <c r="CYP3" s="272"/>
      <c r="CYQ3" s="270"/>
      <c r="CYR3" s="272"/>
      <c r="CYS3" s="270"/>
      <c r="CYT3" s="272"/>
      <c r="CYU3" s="270"/>
      <c r="CYV3" s="272"/>
      <c r="CYW3" s="270"/>
      <c r="CYX3" s="272"/>
      <c r="CYY3" s="270"/>
      <c r="CYZ3" s="272"/>
      <c r="CZA3" s="270"/>
      <c r="CZB3" s="272"/>
      <c r="CZC3" s="270"/>
      <c r="CZD3" s="272"/>
      <c r="CZE3" s="270"/>
      <c r="CZF3" s="272"/>
      <c r="CZG3" s="270"/>
      <c r="CZH3" s="272"/>
      <c r="CZI3" s="270"/>
      <c r="CZJ3" s="272"/>
      <c r="CZK3" s="270"/>
      <c r="CZL3" s="272"/>
      <c r="CZM3" s="270"/>
      <c r="CZN3" s="272"/>
      <c r="CZO3" s="270"/>
      <c r="CZP3" s="272"/>
      <c r="CZQ3" s="270"/>
      <c r="CZR3" s="272"/>
      <c r="CZS3" s="270"/>
      <c r="CZT3" s="272"/>
      <c r="CZU3" s="270"/>
      <c r="CZV3" s="272"/>
      <c r="CZW3" s="270"/>
      <c r="CZX3" s="272"/>
      <c r="CZY3" s="270"/>
      <c r="CZZ3" s="272"/>
      <c r="DAA3" s="270"/>
      <c r="DAB3" s="272"/>
      <c r="DAC3" s="270"/>
      <c r="DAD3" s="272"/>
      <c r="DAE3" s="270"/>
      <c r="DAF3" s="272"/>
      <c r="DAG3" s="270"/>
      <c r="DAH3" s="272"/>
      <c r="DAI3" s="270"/>
      <c r="DAJ3" s="272"/>
      <c r="DAK3" s="270"/>
      <c r="DAL3" s="272"/>
      <c r="DAM3" s="270"/>
      <c r="DAN3" s="272"/>
      <c r="DAO3" s="270"/>
      <c r="DAP3" s="272"/>
      <c r="DAQ3" s="270"/>
      <c r="DAR3" s="272"/>
      <c r="DAS3" s="270"/>
      <c r="DAT3" s="272"/>
      <c r="DAU3" s="270"/>
      <c r="DAV3" s="272"/>
      <c r="DAW3" s="270"/>
      <c r="DAX3" s="272"/>
      <c r="DAY3" s="270"/>
      <c r="DAZ3" s="272"/>
      <c r="DBA3" s="270"/>
      <c r="DBB3" s="272"/>
      <c r="DBC3" s="270"/>
      <c r="DBD3" s="272"/>
      <c r="DBE3" s="270"/>
      <c r="DBF3" s="272"/>
      <c r="DBG3" s="270"/>
      <c r="DBH3" s="272"/>
      <c r="DBI3" s="270"/>
      <c r="DBJ3" s="272"/>
      <c r="DBK3" s="270"/>
      <c r="DBL3" s="272"/>
      <c r="DBM3" s="270"/>
      <c r="DBN3" s="272"/>
      <c r="DBO3" s="270"/>
      <c r="DBP3" s="272"/>
      <c r="DBQ3" s="270"/>
      <c r="DBR3" s="272"/>
      <c r="DBS3" s="270"/>
      <c r="DBT3" s="272"/>
      <c r="DBU3" s="270"/>
      <c r="DBV3" s="272"/>
      <c r="DBW3" s="270"/>
      <c r="DBX3" s="272"/>
      <c r="DBY3" s="270"/>
      <c r="DBZ3" s="272"/>
      <c r="DCA3" s="270"/>
      <c r="DCB3" s="272"/>
      <c r="DCC3" s="270"/>
      <c r="DCD3" s="272"/>
      <c r="DCE3" s="270"/>
      <c r="DCF3" s="272"/>
      <c r="DCG3" s="270"/>
      <c r="DCH3" s="272"/>
      <c r="DCI3" s="270"/>
      <c r="DCJ3" s="272"/>
      <c r="DCK3" s="270"/>
      <c r="DCL3" s="272"/>
      <c r="DCM3" s="270"/>
      <c r="DCN3" s="272"/>
      <c r="DCO3" s="270"/>
      <c r="DCP3" s="272"/>
      <c r="DCQ3" s="270"/>
      <c r="DCR3" s="272"/>
      <c r="DCS3" s="270"/>
      <c r="DCT3" s="272"/>
      <c r="DCU3" s="270"/>
      <c r="DCV3" s="272"/>
      <c r="DCW3" s="270"/>
      <c r="DCX3" s="272"/>
      <c r="DCY3" s="270"/>
      <c r="DCZ3" s="272"/>
      <c r="DDA3" s="270"/>
      <c r="DDB3" s="272"/>
      <c r="DDC3" s="270"/>
      <c r="DDD3" s="272"/>
      <c r="DDE3" s="270"/>
      <c r="DDF3" s="272"/>
      <c r="DDG3" s="270"/>
      <c r="DDH3" s="272"/>
      <c r="DDI3" s="270"/>
      <c r="DDJ3" s="272"/>
      <c r="DDK3" s="270"/>
      <c r="DDL3" s="272"/>
      <c r="DDM3" s="270"/>
      <c r="DDN3" s="272"/>
      <c r="DDO3" s="270"/>
      <c r="DDP3" s="272"/>
      <c r="DDQ3" s="270"/>
      <c r="DDR3" s="272"/>
      <c r="DDS3" s="270"/>
      <c r="DDT3" s="272"/>
      <c r="DDU3" s="270"/>
      <c r="DDV3" s="272"/>
      <c r="DDW3" s="270"/>
      <c r="DDX3" s="272"/>
      <c r="DDY3" s="270"/>
      <c r="DDZ3" s="272"/>
      <c r="DEA3" s="270"/>
      <c r="DEB3" s="272"/>
      <c r="DEC3" s="270"/>
      <c r="DED3" s="272"/>
      <c r="DEE3" s="270"/>
      <c r="DEF3" s="272"/>
      <c r="DEG3" s="270"/>
      <c r="DEH3" s="272"/>
      <c r="DEI3" s="270"/>
      <c r="DEJ3" s="272"/>
      <c r="DEK3" s="270"/>
      <c r="DEL3" s="272"/>
      <c r="DEM3" s="270"/>
      <c r="DEN3" s="272"/>
      <c r="DEO3" s="270"/>
      <c r="DEP3" s="272"/>
      <c r="DEQ3" s="270"/>
      <c r="DER3" s="272"/>
      <c r="DES3" s="270"/>
      <c r="DET3" s="272"/>
      <c r="DEU3" s="270"/>
      <c r="DEV3" s="272"/>
      <c r="DEW3" s="270"/>
      <c r="DEX3" s="272"/>
      <c r="DEY3" s="270"/>
      <c r="DEZ3" s="272"/>
      <c r="DFA3" s="270"/>
      <c r="DFB3" s="272"/>
      <c r="DFC3" s="270"/>
      <c r="DFD3" s="272"/>
      <c r="DFE3" s="270"/>
      <c r="DFF3" s="272"/>
      <c r="DFG3" s="270"/>
      <c r="DFH3" s="272"/>
      <c r="DFI3" s="270"/>
      <c r="DFJ3" s="272"/>
      <c r="DFK3" s="270"/>
      <c r="DFL3" s="272"/>
      <c r="DFM3" s="270"/>
      <c r="DFN3" s="272"/>
      <c r="DFO3" s="270"/>
      <c r="DFP3" s="272"/>
      <c r="DFQ3" s="270"/>
      <c r="DFR3" s="272"/>
      <c r="DFS3" s="270"/>
      <c r="DFT3" s="272"/>
      <c r="DFU3" s="270"/>
      <c r="DFV3" s="272"/>
      <c r="DFW3" s="270"/>
      <c r="DFX3" s="272"/>
      <c r="DFY3" s="270"/>
      <c r="DFZ3" s="272"/>
      <c r="DGA3" s="270"/>
      <c r="DGB3" s="272"/>
      <c r="DGC3" s="270"/>
      <c r="DGD3" s="272"/>
      <c r="DGE3" s="270"/>
      <c r="DGF3" s="272"/>
      <c r="DGG3" s="270"/>
      <c r="DGH3" s="272"/>
      <c r="DGI3" s="270"/>
      <c r="DGJ3" s="272"/>
      <c r="DGK3" s="270"/>
      <c r="DGL3" s="272"/>
      <c r="DGM3" s="270"/>
      <c r="DGN3" s="272"/>
      <c r="DGO3" s="270"/>
      <c r="DGP3" s="272"/>
      <c r="DGQ3" s="270"/>
      <c r="DGR3" s="272"/>
      <c r="DGS3" s="270"/>
      <c r="DGT3" s="272"/>
      <c r="DGU3" s="270"/>
      <c r="DGV3" s="272"/>
      <c r="DGW3" s="270"/>
      <c r="DGX3" s="272"/>
      <c r="DGY3" s="270"/>
      <c r="DGZ3" s="272"/>
      <c r="DHA3" s="270"/>
      <c r="DHB3" s="272"/>
      <c r="DHC3" s="270"/>
      <c r="DHD3" s="272"/>
      <c r="DHE3" s="270"/>
      <c r="DHF3" s="272"/>
      <c r="DHG3" s="270"/>
      <c r="DHH3" s="272"/>
      <c r="DHI3" s="270"/>
      <c r="DHJ3" s="272"/>
      <c r="DHK3" s="270"/>
      <c r="DHL3" s="272"/>
      <c r="DHM3" s="270"/>
      <c r="DHN3" s="272"/>
      <c r="DHO3" s="270"/>
      <c r="DHP3" s="272"/>
      <c r="DHQ3" s="270"/>
      <c r="DHR3" s="272"/>
      <c r="DHS3" s="270"/>
      <c r="DHT3" s="272"/>
      <c r="DHU3" s="270"/>
      <c r="DHV3" s="272"/>
      <c r="DHW3" s="270"/>
      <c r="DHX3" s="272"/>
      <c r="DHY3" s="270"/>
      <c r="DHZ3" s="272"/>
      <c r="DIA3" s="270"/>
      <c r="DIB3" s="272"/>
      <c r="DIC3" s="270"/>
      <c r="DID3" s="272"/>
      <c r="DIE3" s="270"/>
      <c r="DIF3" s="272"/>
      <c r="DIG3" s="270"/>
      <c r="DIH3" s="272"/>
      <c r="DII3" s="270"/>
      <c r="DIJ3" s="272"/>
      <c r="DIK3" s="270"/>
      <c r="DIL3" s="272"/>
      <c r="DIM3" s="270"/>
      <c r="DIN3" s="272"/>
      <c r="DIO3" s="270"/>
      <c r="DIP3" s="272"/>
      <c r="DIQ3" s="270"/>
      <c r="DIR3" s="272"/>
      <c r="DIS3" s="270"/>
      <c r="DIT3" s="272"/>
      <c r="DIU3" s="270"/>
      <c r="DIV3" s="272"/>
      <c r="DIW3" s="270"/>
      <c r="DIX3" s="272"/>
      <c r="DIY3" s="270"/>
      <c r="DIZ3" s="272"/>
      <c r="DJA3" s="270"/>
      <c r="DJB3" s="272"/>
      <c r="DJC3" s="270"/>
      <c r="DJD3" s="272"/>
      <c r="DJE3" s="270"/>
      <c r="DJF3" s="272"/>
      <c r="DJG3" s="270"/>
      <c r="DJH3" s="272"/>
      <c r="DJI3" s="270"/>
      <c r="DJJ3" s="272"/>
      <c r="DJK3" s="270"/>
      <c r="DJL3" s="272"/>
      <c r="DJM3" s="270"/>
      <c r="DJN3" s="272"/>
      <c r="DJO3" s="270"/>
      <c r="DJP3" s="272"/>
      <c r="DJQ3" s="270"/>
      <c r="DJR3" s="272"/>
      <c r="DJS3" s="270"/>
      <c r="DJT3" s="272"/>
      <c r="DJU3" s="270"/>
      <c r="DJV3" s="272"/>
      <c r="DJW3" s="270"/>
      <c r="DJX3" s="272"/>
      <c r="DJY3" s="270"/>
      <c r="DJZ3" s="272"/>
      <c r="DKA3" s="270"/>
      <c r="DKB3" s="272"/>
      <c r="DKC3" s="270"/>
      <c r="DKD3" s="272"/>
      <c r="DKE3" s="270"/>
      <c r="DKF3" s="272"/>
      <c r="DKG3" s="270"/>
      <c r="DKH3" s="272"/>
      <c r="DKI3" s="270"/>
      <c r="DKJ3" s="272"/>
      <c r="DKK3" s="270"/>
      <c r="DKL3" s="272"/>
      <c r="DKM3" s="270"/>
      <c r="DKN3" s="272"/>
      <c r="DKO3" s="270"/>
      <c r="DKP3" s="272"/>
      <c r="DKQ3" s="270"/>
      <c r="DKR3" s="272"/>
      <c r="DKS3" s="270"/>
      <c r="DKT3" s="272"/>
      <c r="DKU3" s="270"/>
      <c r="DKV3" s="272"/>
      <c r="DKW3" s="270"/>
      <c r="DKX3" s="272"/>
      <c r="DKY3" s="270"/>
      <c r="DKZ3" s="272"/>
      <c r="DLA3" s="270"/>
      <c r="DLB3" s="272"/>
      <c r="DLC3" s="270"/>
      <c r="DLD3" s="272"/>
      <c r="DLE3" s="270"/>
      <c r="DLF3" s="272"/>
      <c r="DLG3" s="270"/>
      <c r="DLH3" s="272"/>
      <c r="DLI3" s="270"/>
      <c r="DLJ3" s="272"/>
      <c r="DLK3" s="270"/>
      <c r="DLL3" s="272"/>
      <c r="DLM3" s="270"/>
      <c r="DLN3" s="272"/>
      <c r="DLO3" s="270"/>
      <c r="DLP3" s="272"/>
      <c r="DLQ3" s="270"/>
      <c r="DLR3" s="272"/>
      <c r="DLS3" s="270"/>
      <c r="DLT3" s="272"/>
      <c r="DLU3" s="270"/>
      <c r="DLV3" s="272"/>
      <c r="DLW3" s="270"/>
      <c r="DLX3" s="272"/>
      <c r="DLY3" s="270"/>
      <c r="DLZ3" s="272"/>
      <c r="DMA3" s="270"/>
      <c r="DMB3" s="272"/>
      <c r="DMC3" s="270"/>
      <c r="DMD3" s="272"/>
      <c r="DME3" s="270"/>
      <c r="DMF3" s="272"/>
      <c r="DMG3" s="270"/>
      <c r="DMH3" s="272"/>
      <c r="DMI3" s="270"/>
      <c r="DMJ3" s="272"/>
      <c r="DMK3" s="270"/>
      <c r="DML3" s="272"/>
      <c r="DMM3" s="270"/>
      <c r="DMN3" s="272"/>
      <c r="DMO3" s="270"/>
      <c r="DMP3" s="272"/>
      <c r="DMQ3" s="270"/>
      <c r="DMR3" s="272"/>
      <c r="DMS3" s="270"/>
      <c r="DMT3" s="272"/>
      <c r="DMU3" s="270"/>
      <c r="DMV3" s="272"/>
      <c r="DMW3" s="270"/>
      <c r="DMX3" s="272"/>
      <c r="DMY3" s="270"/>
      <c r="DMZ3" s="272"/>
      <c r="DNA3" s="270"/>
      <c r="DNB3" s="272"/>
      <c r="DNC3" s="270"/>
      <c r="DND3" s="272"/>
      <c r="DNE3" s="270"/>
      <c r="DNF3" s="272"/>
      <c r="DNG3" s="270"/>
      <c r="DNH3" s="272"/>
      <c r="DNI3" s="270"/>
      <c r="DNJ3" s="272"/>
      <c r="DNK3" s="270"/>
      <c r="DNL3" s="272"/>
      <c r="DNM3" s="270"/>
      <c r="DNN3" s="272"/>
      <c r="DNO3" s="270"/>
      <c r="DNP3" s="272"/>
      <c r="DNQ3" s="270"/>
      <c r="DNR3" s="272"/>
      <c r="DNS3" s="270"/>
      <c r="DNT3" s="272"/>
      <c r="DNU3" s="270"/>
      <c r="DNV3" s="272"/>
      <c r="DNW3" s="270"/>
      <c r="DNX3" s="272"/>
      <c r="DNY3" s="270"/>
      <c r="DNZ3" s="272"/>
      <c r="DOA3" s="270"/>
      <c r="DOB3" s="272"/>
      <c r="DOC3" s="270"/>
      <c r="DOD3" s="272"/>
      <c r="DOE3" s="270"/>
      <c r="DOF3" s="272"/>
      <c r="DOG3" s="270"/>
      <c r="DOH3" s="272"/>
      <c r="DOI3" s="270"/>
      <c r="DOJ3" s="272"/>
      <c r="DOK3" s="270"/>
      <c r="DOL3" s="272"/>
      <c r="DOM3" s="270"/>
      <c r="DON3" s="272"/>
      <c r="DOO3" s="270"/>
      <c r="DOP3" s="272"/>
      <c r="DOQ3" s="270"/>
      <c r="DOR3" s="272"/>
      <c r="DOS3" s="270"/>
      <c r="DOT3" s="272"/>
      <c r="DOU3" s="270"/>
      <c r="DOV3" s="272"/>
      <c r="DOW3" s="270"/>
      <c r="DOX3" s="272"/>
      <c r="DOY3" s="270"/>
      <c r="DOZ3" s="272"/>
      <c r="DPA3" s="270"/>
      <c r="DPB3" s="272"/>
      <c r="DPC3" s="270"/>
      <c r="DPD3" s="272"/>
      <c r="DPE3" s="270"/>
      <c r="DPF3" s="272"/>
      <c r="DPG3" s="270"/>
      <c r="DPH3" s="272"/>
      <c r="DPI3" s="270"/>
      <c r="DPJ3" s="272"/>
      <c r="DPK3" s="270"/>
      <c r="DPL3" s="272"/>
      <c r="DPM3" s="270"/>
      <c r="DPN3" s="272"/>
      <c r="DPO3" s="270"/>
      <c r="DPP3" s="272"/>
      <c r="DPQ3" s="270"/>
      <c r="DPR3" s="272"/>
      <c r="DPS3" s="270"/>
      <c r="DPT3" s="272"/>
      <c r="DPU3" s="270"/>
      <c r="DPV3" s="272"/>
      <c r="DPW3" s="270"/>
      <c r="DPX3" s="272"/>
      <c r="DPY3" s="270"/>
      <c r="DPZ3" s="272"/>
      <c r="DQA3" s="270"/>
      <c r="DQB3" s="272"/>
      <c r="DQC3" s="270"/>
      <c r="DQD3" s="272"/>
      <c r="DQE3" s="270"/>
      <c r="DQF3" s="272"/>
      <c r="DQG3" s="270"/>
      <c r="DQH3" s="272"/>
      <c r="DQI3" s="270"/>
      <c r="DQJ3" s="272"/>
      <c r="DQK3" s="270"/>
      <c r="DQL3" s="272"/>
      <c r="DQM3" s="270"/>
      <c r="DQN3" s="272"/>
      <c r="DQO3" s="270"/>
      <c r="DQP3" s="272"/>
      <c r="DQQ3" s="270"/>
      <c r="DQR3" s="272"/>
      <c r="DQS3" s="270"/>
      <c r="DQT3" s="272"/>
      <c r="DQU3" s="270"/>
      <c r="DQV3" s="272"/>
      <c r="DQW3" s="270"/>
      <c r="DQX3" s="272"/>
      <c r="DQY3" s="270"/>
      <c r="DQZ3" s="272"/>
      <c r="DRA3" s="270"/>
      <c r="DRB3" s="272"/>
      <c r="DRC3" s="270"/>
      <c r="DRD3" s="272"/>
      <c r="DRE3" s="270"/>
      <c r="DRF3" s="272"/>
      <c r="DRG3" s="270"/>
      <c r="DRH3" s="272"/>
      <c r="DRI3" s="270"/>
      <c r="DRJ3" s="272"/>
      <c r="DRK3" s="270"/>
      <c r="DRL3" s="272"/>
      <c r="DRM3" s="270"/>
      <c r="DRN3" s="272"/>
      <c r="DRO3" s="270"/>
      <c r="DRP3" s="272"/>
      <c r="DRQ3" s="270"/>
      <c r="DRR3" s="272"/>
      <c r="DRS3" s="270"/>
      <c r="DRT3" s="272"/>
      <c r="DRU3" s="270"/>
      <c r="DRV3" s="272"/>
      <c r="DRW3" s="270"/>
      <c r="DRX3" s="272"/>
      <c r="DRY3" s="270"/>
      <c r="DRZ3" s="272"/>
      <c r="DSA3" s="270"/>
      <c r="DSB3" s="272"/>
      <c r="DSC3" s="270"/>
      <c r="DSD3" s="272"/>
      <c r="DSE3" s="270"/>
      <c r="DSF3" s="272"/>
      <c r="DSG3" s="270"/>
      <c r="DSH3" s="272"/>
      <c r="DSI3" s="270"/>
      <c r="DSJ3" s="272"/>
      <c r="DSK3" s="270"/>
      <c r="DSL3" s="272"/>
      <c r="DSM3" s="270"/>
      <c r="DSN3" s="272"/>
      <c r="DSO3" s="270"/>
      <c r="DSP3" s="272"/>
      <c r="DSQ3" s="270"/>
      <c r="DSR3" s="272"/>
      <c r="DSS3" s="270"/>
      <c r="DST3" s="272"/>
      <c r="DSU3" s="270"/>
      <c r="DSV3" s="272"/>
      <c r="DSW3" s="270"/>
      <c r="DSX3" s="272"/>
      <c r="DSY3" s="270"/>
      <c r="DSZ3" s="272"/>
      <c r="DTA3" s="270"/>
      <c r="DTB3" s="272"/>
      <c r="DTC3" s="270"/>
      <c r="DTD3" s="272"/>
      <c r="DTE3" s="270"/>
      <c r="DTF3" s="272"/>
      <c r="DTG3" s="270"/>
      <c r="DTH3" s="272"/>
      <c r="DTI3" s="270"/>
      <c r="DTJ3" s="272"/>
      <c r="DTK3" s="270"/>
      <c r="DTL3" s="272"/>
      <c r="DTM3" s="270"/>
      <c r="DTN3" s="272"/>
      <c r="DTO3" s="270"/>
      <c r="DTP3" s="272"/>
      <c r="DTQ3" s="270"/>
      <c r="DTR3" s="272"/>
      <c r="DTS3" s="270"/>
      <c r="DTT3" s="272"/>
      <c r="DTU3" s="270"/>
      <c r="DTV3" s="272"/>
      <c r="DTW3" s="270"/>
      <c r="DTX3" s="272"/>
      <c r="DTY3" s="270"/>
      <c r="DTZ3" s="272"/>
      <c r="DUA3" s="270"/>
      <c r="DUB3" s="272"/>
      <c r="DUC3" s="270"/>
      <c r="DUD3" s="272"/>
      <c r="DUE3" s="270"/>
      <c r="DUF3" s="272"/>
      <c r="DUG3" s="270"/>
      <c r="DUH3" s="272"/>
      <c r="DUI3" s="270"/>
      <c r="DUJ3" s="272"/>
      <c r="DUK3" s="270"/>
      <c r="DUL3" s="272"/>
      <c r="DUM3" s="270"/>
      <c r="DUN3" s="272"/>
      <c r="DUO3" s="270"/>
      <c r="DUP3" s="272"/>
      <c r="DUQ3" s="270"/>
      <c r="DUR3" s="272"/>
      <c r="DUS3" s="270"/>
      <c r="DUT3" s="272"/>
      <c r="DUU3" s="270"/>
      <c r="DUV3" s="272"/>
      <c r="DUW3" s="270"/>
      <c r="DUX3" s="272"/>
      <c r="DUY3" s="270"/>
      <c r="DUZ3" s="272"/>
      <c r="DVA3" s="270"/>
      <c r="DVB3" s="272"/>
      <c r="DVC3" s="270"/>
      <c r="DVD3" s="272"/>
      <c r="DVE3" s="270"/>
      <c r="DVF3" s="272"/>
      <c r="DVG3" s="270"/>
      <c r="DVH3" s="272"/>
      <c r="DVI3" s="270"/>
      <c r="DVJ3" s="272"/>
      <c r="DVK3" s="270"/>
      <c r="DVL3" s="272"/>
      <c r="DVM3" s="270"/>
      <c r="DVN3" s="272"/>
      <c r="DVO3" s="270"/>
      <c r="DVP3" s="272"/>
      <c r="DVQ3" s="270"/>
      <c r="DVR3" s="272"/>
      <c r="DVS3" s="270"/>
      <c r="DVT3" s="272"/>
      <c r="DVU3" s="270"/>
      <c r="DVV3" s="272"/>
      <c r="DVW3" s="270"/>
      <c r="DVX3" s="272"/>
      <c r="DVY3" s="270"/>
      <c r="DVZ3" s="272"/>
      <c r="DWA3" s="270"/>
      <c r="DWB3" s="272"/>
      <c r="DWC3" s="270"/>
      <c r="DWD3" s="272"/>
      <c r="DWE3" s="270"/>
      <c r="DWF3" s="272"/>
      <c r="DWG3" s="270"/>
      <c r="DWH3" s="272"/>
      <c r="DWI3" s="270"/>
      <c r="DWJ3" s="272"/>
      <c r="DWK3" s="270"/>
      <c r="DWL3" s="272"/>
      <c r="DWM3" s="270"/>
      <c r="DWN3" s="272"/>
      <c r="DWO3" s="270"/>
      <c r="DWP3" s="272"/>
      <c r="DWQ3" s="270"/>
      <c r="DWR3" s="272"/>
      <c r="DWS3" s="270"/>
      <c r="DWT3" s="272"/>
      <c r="DWU3" s="270"/>
      <c r="DWV3" s="272"/>
      <c r="DWW3" s="270"/>
      <c r="DWX3" s="272"/>
      <c r="DWY3" s="270"/>
      <c r="DWZ3" s="272"/>
      <c r="DXA3" s="270"/>
      <c r="DXB3" s="272"/>
      <c r="DXC3" s="270"/>
      <c r="DXD3" s="272"/>
      <c r="DXE3" s="270"/>
      <c r="DXF3" s="272"/>
      <c r="DXG3" s="270"/>
      <c r="DXH3" s="272"/>
      <c r="DXI3" s="270"/>
      <c r="DXJ3" s="272"/>
      <c r="DXK3" s="270"/>
      <c r="DXL3" s="272"/>
      <c r="DXM3" s="270"/>
      <c r="DXN3" s="272"/>
      <c r="DXO3" s="270"/>
      <c r="DXP3" s="272"/>
      <c r="DXQ3" s="270"/>
      <c r="DXR3" s="272"/>
      <c r="DXS3" s="270"/>
      <c r="DXT3" s="272"/>
      <c r="DXU3" s="270"/>
      <c r="DXV3" s="272"/>
      <c r="DXW3" s="270"/>
      <c r="DXX3" s="272"/>
      <c r="DXY3" s="270"/>
      <c r="DXZ3" s="272"/>
      <c r="DYA3" s="270"/>
      <c r="DYB3" s="272"/>
      <c r="DYC3" s="270"/>
      <c r="DYD3" s="272"/>
      <c r="DYE3" s="270"/>
      <c r="DYF3" s="272"/>
      <c r="DYG3" s="270"/>
      <c r="DYH3" s="272"/>
      <c r="DYI3" s="270"/>
      <c r="DYJ3" s="272"/>
      <c r="DYK3" s="270"/>
      <c r="DYL3" s="272"/>
      <c r="DYM3" s="270"/>
      <c r="DYN3" s="272"/>
      <c r="DYO3" s="270"/>
      <c r="DYP3" s="272"/>
      <c r="DYQ3" s="270"/>
      <c r="DYR3" s="272"/>
      <c r="DYS3" s="270"/>
      <c r="DYT3" s="272"/>
      <c r="DYU3" s="270"/>
      <c r="DYV3" s="272"/>
      <c r="DYW3" s="270"/>
      <c r="DYX3" s="272"/>
      <c r="DYY3" s="270"/>
      <c r="DYZ3" s="272"/>
      <c r="DZA3" s="270"/>
      <c r="DZB3" s="272"/>
      <c r="DZC3" s="270"/>
      <c r="DZD3" s="272"/>
      <c r="DZE3" s="270"/>
      <c r="DZF3" s="272"/>
      <c r="DZG3" s="270"/>
      <c r="DZH3" s="272"/>
      <c r="DZI3" s="270"/>
      <c r="DZJ3" s="272"/>
      <c r="DZK3" s="270"/>
      <c r="DZL3" s="272"/>
      <c r="DZM3" s="270"/>
      <c r="DZN3" s="272"/>
      <c r="DZO3" s="270"/>
      <c r="DZP3" s="272"/>
      <c r="DZQ3" s="270"/>
      <c r="DZR3" s="272"/>
      <c r="DZS3" s="270"/>
      <c r="DZT3" s="272"/>
      <c r="DZU3" s="270"/>
      <c r="DZV3" s="272"/>
      <c r="DZW3" s="270"/>
      <c r="DZX3" s="272"/>
      <c r="DZY3" s="270"/>
      <c r="DZZ3" s="272"/>
      <c r="EAA3" s="270"/>
      <c r="EAB3" s="272"/>
      <c r="EAC3" s="270"/>
      <c r="EAD3" s="272"/>
      <c r="EAE3" s="270"/>
      <c r="EAF3" s="272"/>
      <c r="EAG3" s="270"/>
      <c r="EAH3" s="272"/>
      <c r="EAI3" s="270"/>
      <c r="EAJ3" s="272"/>
      <c r="EAK3" s="270"/>
      <c r="EAL3" s="272"/>
      <c r="EAM3" s="270"/>
      <c r="EAN3" s="272"/>
      <c r="EAO3" s="270"/>
      <c r="EAP3" s="272"/>
      <c r="EAQ3" s="270"/>
      <c r="EAR3" s="272"/>
      <c r="EAS3" s="270"/>
      <c r="EAT3" s="272"/>
      <c r="EAU3" s="270"/>
      <c r="EAV3" s="272"/>
      <c r="EAW3" s="270"/>
      <c r="EAX3" s="272"/>
      <c r="EAY3" s="270"/>
      <c r="EAZ3" s="272"/>
      <c r="EBA3" s="270"/>
      <c r="EBB3" s="272"/>
      <c r="EBC3" s="270"/>
      <c r="EBD3" s="272"/>
      <c r="EBE3" s="270"/>
      <c r="EBF3" s="272"/>
      <c r="EBG3" s="270"/>
      <c r="EBH3" s="272"/>
      <c r="EBI3" s="270"/>
      <c r="EBJ3" s="272"/>
      <c r="EBK3" s="270"/>
      <c r="EBL3" s="272"/>
      <c r="EBM3" s="270"/>
      <c r="EBN3" s="272"/>
      <c r="EBO3" s="270"/>
      <c r="EBP3" s="272"/>
      <c r="EBQ3" s="270"/>
      <c r="EBR3" s="272"/>
      <c r="EBS3" s="270"/>
      <c r="EBT3" s="272"/>
      <c r="EBU3" s="270"/>
      <c r="EBV3" s="272"/>
      <c r="EBW3" s="270"/>
      <c r="EBX3" s="272"/>
      <c r="EBY3" s="270"/>
      <c r="EBZ3" s="272"/>
      <c r="ECA3" s="270"/>
      <c r="ECB3" s="272"/>
      <c r="ECC3" s="270"/>
      <c r="ECD3" s="272"/>
      <c r="ECE3" s="270"/>
      <c r="ECF3" s="272"/>
      <c r="ECG3" s="270"/>
      <c r="ECH3" s="272"/>
      <c r="ECI3" s="270"/>
      <c r="ECJ3" s="272"/>
      <c r="ECK3" s="270"/>
      <c r="ECL3" s="272"/>
      <c r="ECM3" s="270"/>
      <c r="ECN3" s="272"/>
      <c r="ECO3" s="270"/>
      <c r="ECP3" s="272"/>
      <c r="ECQ3" s="270"/>
      <c r="ECR3" s="272"/>
      <c r="ECS3" s="270"/>
      <c r="ECT3" s="272"/>
      <c r="ECU3" s="270"/>
      <c r="ECV3" s="272"/>
      <c r="ECW3" s="270"/>
      <c r="ECX3" s="272"/>
      <c r="ECY3" s="270"/>
      <c r="ECZ3" s="272"/>
      <c r="EDA3" s="270"/>
      <c r="EDB3" s="272"/>
      <c r="EDC3" s="270"/>
      <c r="EDD3" s="272"/>
      <c r="EDE3" s="270"/>
      <c r="EDF3" s="272"/>
      <c r="EDG3" s="270"/>
      <c r="EDH3" s="272"/>
      <c r="EDI3" s="270"/>
      <c r="EDJ3" s="272"/>
      <c r="EDK3" s="270"/>
      <c r="EDL3" s="272"/>
      <c r="EDM3" s="270"/>
      <c r="EDN3" s="272"/>
      <c r="EDO3" s="270"/>
      <c r="EDP3" s="272"/>
      <c r="EDQ3" s="270"/>
      <c r="EDR3" s="272"/>
      <c r="EDS3" s="270"/>
      <c r="EDT3" s="272"/>
      <c r="EDU3" s="270"/>
      <c r="EDV3" s="272"/>
      <c r="EDW3" s="270"/>
      <c r="EDX3" s="272"/>
      <c r="EDY3" s="270"/>
      <c r="EDZ3" s="272"/>
      <c r="EEA3" s="270"/>
      <c r="EEB3" s="272"/>
      <c r="EEC3" s="270"/>
      <c r="EED3" s="272"/>
      <c r="EEE3" s="270"/>
      <c r="EEF3" s="272"/>
      <c r="EEG3" s="270"/>
      <c r="EEH3" s="272"/>
      <c r="EEI3" s="270"/>
      <c r="EEJ3" s="272"/>
      <c r="EEK3" s="270"/>
      <c r="EEL3" s="272"/>
      <c r="EEM3" s="270"/>
      <c r="EEN3" s="272"/>
      <c r="EEO3" s="270"/>
      <c r="EEP3" s="272"/>
      <c r="EEQ3" s="270"/>
      <c r="EER3" s="272"/>
      <c r="EES3" s="270"/>
      <c r="EET3" s="272"/>
      <c r="EEU3" s="270"/>
      <c r="EEV3" s="272"/>
      <c r="EEW3" s="270"/>
      <c r="EEX3" s="272"/>
      <c r="EEY3" s="270"/>
      <c r="EEZ3" s="272"/>
      <c r="EFA3" s="270"/>
      <c r="EFB3" s="272"/>
      <c r="EFC3" s="270"/>
      <c r="EFD3" s="272"/>
      <c r="EFE3" s="270"/>
      <c r="EFF3" s="272"/>
      <c r="EFG3" s="270"/>
      <c r="EFH3" s="272"/>
      <c r="EFI3" s="270"/>
      <c r="EFJ3" s="272"/>
      <c r="EFK3" s="270"/>
      <c r="EFL3" s="272"/>
      <c r="EFM3" s="270"/>
      <c r="EFN3" s="272"/>
      <c r="EFO3" s="270"/>
      <c r="EFP3" s="272"/>
      <c r="EFQ3" s="270"/>
      <c r="EFR3" s="272"/>
      <c r="EFS3" s="270"/>
      <c r="EFT3" s="272"/>
      <c r="EFU3" s="270"/>
      <c r="EFV3" s="272"/>
      <c r="EFW3" s="270"/>
      <c r="EFX3" s="272"/>
      <c r="EFY3" s="270"/>
      <c r="EFZ3" s="272"/>
      <c r="EGA3" s="270"/>
      <c r="EGB3" s="272"/>
      <c r="EGC3" s="270"/>
      <c r="EGD3" s="272"/>
      <c r="EGE3" s="270"/>
      <c r="EGF3" s="272"/>
      <c r="EGG3" s="270"/>
      <c r="EGH3" s="272"/>
      <c r="EGI3" s="270"/>
      <c r="EGJ3" s="272"/>
      <c r="EGK3" s="270"/>
      <c r="EGL3" s="272"/>
      <c r="EGM3" s="270"/>
      <c r="EGN3" s="272"/>
      <c r="EGO3" s="270"/>
      <c r="EGP3" s="272"/>
      <c r="EGQ3" s="270"/>
      <c r="EGR3" s="272"/>
      <c r="EGS3" s="270"/>
      <c r="EGT3" s="272"/>
      <c r="EGU3" s="270"/>
      <c r="EGV3" s="272"/>
      <c r="EGW3" s="270"/>
      <c r="EGX3" s="272"/>
      <c r="EGY3" s="270"/>
      <c r="EGZ3" s="272"/>
      <c r="EHA3" s="270"/>
      <c r="EHB3" s="272"/>
      <c r="EHC3" s="270"/>
      <c r="EHD3" s="272"/>
      <c r="EHE3" s="270"/>
      <c r="EHF3" s="272"/>
      <c r="EHG3" s="270"/>
      <c r="EHH3" s="272"/>
      <c r="EHI3" s="270"/>
      <c r="EHJ3" s="272"/>
      <c r="EHK3" s="270"/>
      <c r="EHL3" s="272"/>
      <c r="EHM3" s="270"/>
      <c r="EHN3" s="272"/>
      <c r="EHO3" s="270"/>
      <c r="EHP3" s="272"/>
      <c r="EHQ3" s="270"/>
      <c r="EHR3" s="272"/>
      <c r="EHS3" s="270"/>
      <c r="EHT3" s="272"/>
      <c r="EHU3" s="270"/>
      <c r="EHV3" s="272"/>
      <c r="EHW3" s="270"/>
      <c r="EHX3" s="272"/>
      <c r="EHY3" s="270"/>
      <c r="EHZ3" s="272"/>
      <c r="EIA3" s="270"/>
      <c r="EIB3" s="272"/>
      <c r="EIC3" s="270"/>
      <c r="EID3" s="272"/>
      <c r="EIE3" s="270"/>
      <c r="EIF3" s="272"/>
      <c r="EIG3" s="270"/>
      <c r="EIH3" s="272"/>
      <c r="EII3" s="270"/>
      <c r="EIJ3" s="272"/>
      <c r="EIK3" s="270"/>
      <c r="EIL3" s="272"/>
      <c r="EIM3" s="270"/>
      <c r="EIN3" s="272"/>
      <c r="EIO3" s="270"/>
      <c r="EIP3" s="272"/>
      <c r="EIQ3" s="270"/>
      <c r="EIR3" s="272"/>
      <c r="EIS3" s="270"/>
      <c r="EIT3" s="272"/>
      <c r="EIU3" s="270"/>
      <c r="EIV3" s="272"/>
      <c r="EIW3" s="270"/>
      <c r="EIX3" s="272"/>
      <c r="EIY3" s="270"/>
      <c r="EIZ3" s="272"/>
      <c r="EJA3" s="270"/>
      <c r="EJB3" s="272"/>
      <c r="EJC3" s="270"/>
      <c r="EJD3" s="272"/>
      <c r="EJE3" s="270"/>
      <c r="EJF3" s="272"/>
      <c r="EJG3" s="270"/>
      <c r="EJH3" s="272"/>
      <c r="EJI3" s="270"/>
      <c r="EJJ3" s="272"/>
      <c r="EJK3" s="270"/>
      <c r="EJL3" s="272"/>
      <c r="EJM3" s="270"/>
      <c r="EJN3" s="272"/>
      <c r="EJO3" s="270"/>
      <c r="EJP3" s="272"/>
      <c r="EJQ3" s="270"/>
      <c r="EJR3" s="272"/>
      <c r="EJS3" s="270"/>
      <c r="EJT3" s="272"/>
      <c r="EJU3" s="270"/>
      <c r="EJV3" s="272"/>
      <c r="EJW3" s="270"/>
      <c r="EJX3" s="272"/>
      <c r="EJY3" s="270"/>
      <c r="EJZ3" s="272"/>
      <c r="EKA3" s="270"/>
      <c r="EKB3" s="272"/>
      <c r="EKC3" s="270"/>
      <c r="EKD3" s="272"/>
      <c r="EKE3" s="270"/>
      <c r="EKF3" s="272"/>
      <c r="EKG3" s="270"/>
      <c r="EKH3" s="272"/>
      <c r="EKI3" s="270"/>
      <c r="EKJ3" s="272"/>
      <c r="EKK3" s="270"/>
      <c r="EKL3" s="272"/>
      <c r="EKM3" s="270"/>
      <c r="EKN3" s="272"/>
      <c r="EKO3" s="270"/>
      <c r="EKP3" s="272"/>
      <c r="EKQ3" s="270"/>
      <c r="EKR3" s="272"/>
      <c r="EKS3" s="270"/>
      <c r="EKT3" s="272"/>
      <c r="EKU3" s="270"/>
      <c r="EKV3" s="272"/>
      <c r="EKW3" s="270"/>
      <c r="EKX3" s="272"/>
      <c r="EKY3" s="270"/>
      <c r="EKZ3" s="272"/>
      <c r="ELA3" s="270"/>
      <c r="ELB3" s="272"/>
      <c r="ELC3" s="270"/>
      <c r="ELD3" s="272"/>
      <c r="ELE3" s="270"/>
      <c r="ELF3" s="272"/>
      <c r="ELG3" s="270"/>
      <c r="ELH3" s="272"/>
      <c r="ELI3" s="270"/>
      <c r="ELJ3" s="272"/>
      <c r="ELK3" s="270"/>
      <c r="ELL3" s="272"/>
      <c r="ELM3" s="270"/>
      <c r="ELN3" s="272"/>
      <c r="ELO3" s="270"/>
      <c r="ELP3" s="272"/>
      <c r="ELQ3" s="270"/>
      <c r="ELR3" s="272"/>
      <c r="ELS3" s="270"/>
      <c r="ELT3" s="272"/>
      <c r="ELU3" s="270"/>
      <c r="ELV3" s="272"/>
      <c r="ELW3" s="270"/>
      <c r="ELX3" s="272"/>
      <c r="ELY3" s="270"/>
      <c r="ELZ3" s="272"/>
      <c r="EMA3" s="270"/>
      <c r="EMB3" s="272"/>
      <c r="EMC3" s="270"/>
      <c r="EMD3" s="272"/>
      <c r="EME3" s="270"/>
      <c r="EMF3" s="272"/>
      <c r="EMG3" s="270"/>
      <c r="EMH3" s="272"/>
      <c r="EMI3" s="270"/>
      <c r="EMJ3" s="272"/>
      <c r="EMK3" s="270"/>
      <c r="EML3" s="272"/>
      <c r="EMM3" s="270"/>
      <c r="EMN3" s="272"/>
      <c r="EMO3" s="270"/>
      <c r="EMP3" s="272"/>
      <c r="EMQ3" s="270"/>
      <c r="EMR3" s="272"/>
      <c r="EMS3" s="270"/>
      <c r="EMT3" s="272"/>
      <c r="EMU3" s="270"/>
      <c r="EMV3" s="272"/>
      <c r="EMW3" s="270"/>
      <c r="EMX3" s="272"/>
      <c r="EMY3" s="270"/>
      <c r="EMZ3" s="272"/>
      <c r="ENA3" s="270"/>
      <c r="ENB3" s="272"/>
      <c r="ENC3" s="270"/>
      <c r="END3" s="272"/>
      <c r="ENE3" s="270"/>
      <c r="ENF3" s="272"/>
      <c r="ENG3" s="270"/>
      <c r="ENH3" s="272"/>
      <c r="ENI3" s="270"/>
      <c r="ENJ3" s="272"/>
      <c r="ENK3" s="270"/>
      <c r="ENL3" s="272"/>
      <c r="ENM3" s="270"/>
      <c r="ENN3" s="272"/>
      <c r="ENO3" s="270"/>
      <c r="ENP3" s="272"/>
      <c r="ENQ3" s="270"/>
      <c r="ENR3" s="272"/>
      <c r="ENS3" s="270"/>
      <c r="ENT3" s="272"/>
      <c r="ENU3" s="270"/>
      <c r="ENV3" s="272"/>
      <c r="ENW3" s="270"/>
      <c r="ENX3" s="272"/>
      <c r="ENY3" s="270"/>
      <c r="ENZ3" s="272"/>
      <c r="EOA3" s="270"/>
      <c r="EOB3" s="272"/>
      <c r="EOC3" s="270"/>
      <c r="EOD3" s="272"/>
      <c r="EOE3" s="270"/>
      <c r="EOF3" s="272"/>
      <c r="EOG3" s="270"/>
      <c r="EOH3" s="272"/>
      <c r="EOI3" s="270"/>
      <c r="EOJ3" s="272"/>
      <c r="EOK3" s="270"/>
      <c r="EOL3" s="272"/>
      <c r="EOM3" s="270"/>
      <c r="EON3" s="272"/>
      <c r="EOO3" s="270"/>
      <c r="EOP3" s="272"/>
      <c r="EOQ3" s="270"/>
      <c r="EOR3" s="272"/>
      <c r="EOS3" s="270"/>
      <c r="EOT3" s="272"/>
      <c r="EOU3" s="270"/>
      <c r="EOV3" s="272"/>
      <c r="EOW3" s="270"/>
      <c r="EOX3" s="272"/>
      <c r="EOY3" s="270"/>
      <c r="EOZ3" s="272"/>
      <c r="EPA3" s="270"/>
      <c r="EPB3" s="272"/>
      <c r="EPC3" s="270"/>
      <c r="EPD3" s="272"/>
      <c r="EPE3" s="270"/>
      <c r="EPF3" s="272"/>
      <c r="EPG3" s="270"/>
      <c r="EPH3" s="272"/>
      <c r="EPI3" s="270"/>
      <c r="EPJ3" s="272"/>
      <c r="EPK3" s="270"/>
      <c r="EPL3" s="272"/>
      <c r="EPM3" s="270"/>
      <c r="EPN3" s="272"/>
      <c r="EPO3" s="270"/>
      <c r="EPP3" s="272"/>
      <c r="EPQ3" s="270"/>
      <c r="EPR3" s="272"/>
      <c r="EPS3" s="270"/>
      <c r="EPT3" s="272"/>
      <c r="EPU3" s="270"/>
      <c r="EPV3" s="272"/>
      <c r="EPW3" s="270"/>
      <c r="EPX3" s="272"/>
      <c r="EPY3" s="270"/>
      <c r="EPZ3" s="272"/>
      <c r="EQA3" s="270"/>
      <c r="EQB3" s="272"/>
      <c r="EQC3" s="270"/>
      <c r="EQD3" s="272"/>
      <c r="EQE3" s="270"/>
      <c r="EQF3" s="272"/>
      <c r="EQG3" s="270"/>
      <c r="EQH3" s="272"/>
      <c r="EQI3" s="270"/>
      <c r="EQJ3" s="272"/>
      <c r="EQK3" s="270"/>
      <c r="EQL3" s="272"/>
      <c r="EQM3" s="270"/>
      <c r="EQN3" s="272"/>
      <c r="EQO3" s="270"/>
      <c r="EQP3" s="272"/>
      <c r="EQQ3" s="270"/>
      <c r="EQR3" s="272"/>
      <c r="EQS3" s="270"/>
      <c r="EQT3" s="272"/>
      <c r="EQU3" s="270"/>
      <c r="EQV3" s="272"/>
      <c r="EQW3" s="270"/>
      <c r="EQX3" s="272"/>
      <c r="EQY3" s="270"/>
      <c r="EQZ3" s="272"/>
      <c r="ERA3" s="270"/>
      <c r="ERB3" s="272"/>
      <c r="ERC3" s="270"/>
      <c r="ERD3" s="272"/>
      <c r="ERE3" s="270"/>
      <c r="ERF3" s="272"/>
      <c r="ERG3" s="270"/>
      <c r="ERH3" s="272"/>
      <c r="ERI3" s="270"/>
      <c r="ERJ3" s="272"/>
      <c r="ERK3" s="270"/>
      <c r="ERL3" s="272"/>
      <c r="ERM3" s="270"/>
      <c r="ERN3" s="272"/>
      <c r="ERO3" s="270"/>
      <c r="ERP3" s="272"/>
      <c r="ERQ3" s="270"/>
      <c r="ERR3" s="272"/>
      <c r="ERS3" s="270"/>
      <c r="ERT3" s="272"/>
      <c r="ERU3" s="270"/>
      <c r="ERV3" s="272"/>
      <c r="ERW3" s="270"/>
      <c r="ERX3" s="272"/>
      <c r="ERY3" s="270"/>
      <c r="ERZ3" s="272"/>
      <c r="ESA3" s="270"/>
      <c r="ESB3" s="272"/>
      <c r="ESC3" s="270"/>
      <c r="ESD3" s="272"/>
      <c r="ESE3" s="270"/>
      <c r="ESF3" s="272"/>
      <c r="ESG3" s="270"/>
      <c r="ESH3" s="272"/>
      <c r="ESI3" s="270"/>
      <c r="ESJ3" s="272"/>
      <c r="ESK3" s="270"/>
      <c r="ESL3" s="272"/>
      <c r="ESM3" s="270"/>
      <c r="ESN3" s="272"/>
      <c r="ESO3" s="270"/>
      <c r="ESP3" s="272"/>
      <c r="ESQ3" s="270"/>
      <c r="ESR3" s="272"/>
      <c r="ESS3" s="270"/>
      <c r="EST3" s="272"/>
      <c r="ESU3" s="270"/>
      <c r="ESV3" s="272"/>
      <c r="ESW3" s="270"/>
      <c r="ESX3" s="272"/>
      <c r="ESY3" s="270"/>
      <c r="ESZ3" s="272"/>
      <c r="ETA3" s="270"/>
      <c r="ETB3" s="272"/>
      <c r="ETC3" s="270"/>
      <c r="ETD3" s="272"/>
      <c r="ETE3" s="270"/>
      <c r="ETF3" s="272"/>
      <c r="ETG3" s="270"/>
      <c r="ETH3" s="272"/>
      <c r="ETI3" s="270"/>
      <c r="ETJ3" s="272"/>
      <c r="ETK3" s="270"/>
      <c r="ETL3" s="272"/>
      <c r="ETM3" s="270"/>
      <c r="ETN3" s="272"/>
      <c r="ETO3" s="270"/>
      <c r="ETP3" s="272"/>
      <c r="ETQ3" s="270"/>
      <c r="ETR3" s="272"/>
      <c r="ETS3" s="270"/>
      <c r="ETT3" s="272"/>
      <c r="ETU3" s="270"/>
      <c r="ETV3" s="272"/>
      <c r="ETW3" s="270"/>
      <c r="ETX3" s="272"/>
      <c r="ETY3" s="270"/>
      <c r="ETZ3" s="272"/>
      <c r="EUA3" s="270"/>
      <c r="EUB3" s="272"/>
      <c r="EUC3" s="270"/>
      <c r="EUD3" s="272"/>
      <c r="EUE3" s="270"/>
      <c r="EUF3" s="272"/>
      <c r="EUG3" s="270"/>
      <c r="EUH3" s="272"/>
      <c r="EUI3" s="270"/>
      <c r="EUJ3" s="272"/>
      <c r="EUK3" s="270"/>
      <c r="EUL3" s="272"/>
      <c r="EUM3" s="270"/>
      <c r="EUN3" s="272"/>
      <c r="EUO3" s="270"/>
      <c r="EUP3" s="272"/>
      <c r="EUQ3" s="270"/>
      <c r="EUR3" s="272"/>
      <c r="EUS3" s="270"/>
      <c r="EUT3" s="272"/>
      <c r="EUU3" s="270"/>
      <c r="EUV3" s="272"/>
      <c r="EUW3" s="270"/>
      <c r="EUX3" s="272"/>
      <c r="EUY3" s="270"/>
      <c r="EUZ3" s="272"/>
      <c r="EVA3" s="270"/>
      <c r="EVB3" s="272"/>
      <c r="EVC3" s="270"/>
      <c r="EVD3" s="272"/>
      <c r="EVE3" s="270"/>
      <c r="EVF3" s="272"/>
      <c r="EVG3" s="270"/>
      <c r="EVH3" s="272"/>
      <c r="EVI3" s="270"/>
      <c r="EVJ3" s="272"/>
      <c r="EVK3" s="270"/>
      <c r="EVL3" s="272"/>
      <c r="EVM3" s="270"/>
      <c r="EVN3" s="272"/>
      <c r="EVO3" s="270"/>
      <c r="EVP3" s="272"/>
      <c r="EVQ3" s="270"/>
      <c r="EVR3" s="272"/>
      <c r="EVS3" s="270"/>
      <c r="EVT3" s="272"/>
      <c r="EVU3" s="270"/>
      <c r="EVV3" s="272"/>
      <c r="EVW3" s="270"/>
      <c r="EVX3" s="272"/>
      <c r="EVY3" s="270"/>
      <c r="EVZ3" s="272"/>
      <c r="EWA3" s="270"/>
      <c r="EWB3" s="272"/>
      <c r="EWC3" s="270"/>
      <c r="EWD3" s="272"/>
      <c r="EWE3" s="270"/>
      <c r="EWF3" s="272"/>
      <c r="EWG3" s="270"/>
      <c r="EWH3" s="272"/>
      <c r="EWI3" s="270"/>
      <c r="EWJ3" s="272"/>
      <c r="EWK3" s="270"/>
      <c r="EWL3" s="272"/>
      <c r="EWM3" s="270"/>
      <c r="EWN3" s="272"/>
      <c r="EWO3" s="270"/>
      <c r="EWP3" s="272"/>
      <c r="EWQ3" s="270"/>
      <c r="EWR3" s="272"/>
      <c r="EWS3" s="270"/>
      <c r="EWT3" s="272"/>
      <c r="EWU3" s="270"/>
      <c r="EWV3" s="272"/>
      <c r="EWW3" s="270"/>
      <c r="EWX3" s="272"/>
      <c r="EWY3" s="270"/>
      <c r="EWZ3" s="272"/>
      <c r="EXA3" s="270"/>
      <c r="EXB3" s="272"/>
      <c r="EXC3" s="270"/>
      <c r="EXD3" s="272"/>
      <c r="EXE3" s="270"/>
      <c r="EXF3" s="272"/>
      <c r="EXG3" s="270"/>
      <c r="EXH3" s="272"/>
      <c r="EXI3" s="270"/>
      <c r="EXJ3" s="272"/>
      <c r="EXK3" s="270"/>
      <c r="EXL3" s="272"/>
      <c r="EXM3" s="270"/>
      <c r="EXN3" s="272"/>
      <c r="EXO3" s="270"/>
      <c r="EXP3" s="272"/>
      <c r="EXQ3" s="270"/>
      <c r="EXR3" s="272"/>
      <c r="EXS3" s="270"/>
      <c r="EXT3" s="272"/>
      <c r="EXU3" s="270"/>
      <c r="EXV3" s="272"/>
      <c r="EXW3" s="270"/>
      <c r="EXX3" s="272"/>
      <c r="EXY3" s="270"/>
      <c r="EXZ3" s="272"/>
      <c r="EYA3" s="270"/>
      <c r="EYB3" s="272"/>
      <c r="EYC3" s="270"/>
      <c r="EYD3" s="272"/>
      <c r="EYE3" s="270"/>
      <c r="EYF3" s="272"/>
      <c r="EYG3" s="270"/>
      <c r="EYH3" s="272"/>
      <c r="EYI3" s="270"/>
      <c r="EYJ3" s="272"/>
      <c r="EYK3" s="270"/>
      <c r="EYL3" s="272"/>
      <c r="EYM3" s="270"/>
      <c r="EYN3" s="272"/>
      <c r="EYO3" s="270"/>
      <c r="EYP3" s="272"/>
      <c r="EYQ3" s="270"/>
      <c r="EYR3" s="272"/>
      <c r="EYS3" s="270"/>
      <c r="EYT3" s="272"/>
      <c r="EYU3" s="270"/>
      <c r="EYV3" s="272"/>
      <c r="EYW3" s="270"/>
      <c r="EYX3" s="272"/>
      <c r="EYY3" s="270"/>
      <c r="EYZ3" s="272"/>
      <c r="EZA3" s="270"/>
      <c r="EZB3" s="272"/>
      <c r="EZC3" s="270"/>
      <c r="EZD3" s="272"/>
      <c r="EZE3" s="270"/>
      <c r="EZF3" s="272"/>
      <c r="EZG3" s="270"/>
      <c r="EZH3" s="272"/>
      <c r="EZI3" s="270"/>
      <c r="EZJ3" s="272"/>
      <c r="EZK3" s="270"/>
      <c r="EZL3" s="272"/>
      <c r="EZM3" s="270"/>
      <c r="EZN3" s="272"/>
      <c r="EZO3" s="270"/>
      <c r="EZP3" s="272"/>
      <c r="EZQ3" s="270"/>
      <c r="EZR3" s="272"/>
      <c r="EZS3" s="270"/>
      <c r="EZT3" s="272"/>
      <c r="EZU3" s="270"/>
      <c r="EZV3" s="272"/>
      <c r="EZW3" s="270"/>
      <c r="EZX3" s="272"/>
      <c r="EZY3" s="270"/>
      <c r="EZZ3" s="272"/>
      <c r="FAA3" s="270"/>
      <c r="FAB3" s="272"/>
      <c r="FAC3" s="270"/>
      <c r="FAD3" s="272"/>
      <c r="FAE3" s="270"/>
      <c r="FAF3" s="272"/>
      <c r="FAG3" s="270"/>
      <c r="FAH3" s="272"/>
      <c r="FAI3" s="270"/>
      <c r="FAJ3" s="272"/>
      <c r="FAK3" s="270"/>
      <c r="FAL3" s="272"/>
      <c r="FAM3" s="270"/>
      <c r="FAN3" s="272"/>
      <c r="FAO3" s="270"/>
      <c r="FAP3" s="272"/>
      <c r="FAQ3" s="270"/>
      <c r="FAR3" s="272"/>
      <c r="FAS3" s="270"/>
      <c r="FAT3" s="272"/>
      <c r="FAU3" s="270"/>
      <c r="FAV3" s="272"/>
      <c r="FAW3" s="270"/>
      <c r="FAX3" s="272"/>
      <c r="FAY3" s="270"/>
      <c r="FAZ3" s="272"/>
      <c r="FBA3" s="270"/>
      <c r="FBB3" s="272"/>
      <c r="FBC3" s="270"/>
      <c r="FBD3" s="272"/>
      <c r="FBE3" s="270"/>
      <c r="FBF3" s="272"/>
      <c r="FBG3" s="270"/>
      <c r="FBH3" s="272"/>
      <c r="FBI3" s="270"/>
      <c r="FBJ3" s="272"/>
      <c r="FBK3" s="270"/>
      <c r="FBL3" s="272"/>
      <c r="FBM3" s="270"/>
      <c r="FBN3" s="272"/>
      <c r="FBO3" s="270"/>
      <c r="FBP3" s="272"/>
      <c r="FBQ3" s="270"/>
      <c r="FBR3" s="272"/>
      <c r="FBS3" s="270"/>
      <c r="FBT3" s="272"/>
      <c r="FBU3" s="270"/>
      <c r="FBV3" s="272"/>
      <c r="FBW3" s="270"/>
      <c r="FBX3" s="272"/>
      <c r="FBY3" s="270"/>
      <c r="FBZ3" s="272"/>
      <c r="FCA3" s="270"/>
      <c r="FCB3" s="272"/>
      <c r="FCC3" s="270"/>
      <c r="FCD3" s="272"/>
      <c r="FCE3" s="270"/>
      <c r="FCF3" s="272"/>
      <c r="FCG3" s="270"/>
      <c r="FCH3" s="272"/>
      <c r="FCI3" s="270"/>
      <c r="FCJ3" s="272"/>
      <c r="FCK3" s="270"/>
      <c r="FCL3" s="272"/>
      <c r="FCM3" s="270"/>
      <c r="FCN3" s="272"/>
      <c r="FCO3" s="270"/>
      <c r="FCP3" s="272"/>
      <c r="FCQ3" s="270"/>
      <c r="FCR3" s="272"/>
      <c r="FCS3" s="270"/>
      <c r="FCT3" s="272"/>
      <c r="FCU3" s="270"/>
      <c r="FCV3" s="272"/>
      <c r="FCW3" s="270"/>
      <c r="FCX3" s="272"/>
      <c r="FCY3" s="270"/>
      <c r="FCZ3" s="272"/>
      <c r="FDA3" s="270"/>
      <c r="FDB3" s="272"/>
      <c r="FDC3" s="270"/>
      <c r="FDD3" s="272"/>
      <c r="FDE3" s="270"/>
      <c r="FDF3" s="272"/>
      <c r="FDG3" s="270"/>
      <c r="FDH3" s="272"/>
      <c r="FDI3" s="270"/>
      <c r="FDJ3" s="272"/>
      <c r="FDK3" s="270"/>
      <c r="FDL3" s="272"/>
      <c r="FDM3" s="270"/>
      <c r="FDN3" s="272"/>
      <c r="FDO3" s="270"/>
      <c r="FDP3" s="272"/>
      <c r="FDQ3" s="270"/>
      <c r="FDR3" s="272"/>
      <c r="FDS3" s="270"/>
      <c r="FDT3" s="272"/>
      <c r="FDU3" s="270"/>
      <c r="FDV3" s="272"/>
      <c r="FDW3" s="270"/>
      <c r="FDX3" s="272"/>
      <c r="FDY3" s="270"/>
      <c r="FDZ3" s="272"/>
      <c r="FEA3" s="270"/>
      <c r="FEB3" s="272"/>
      <c r="FEC3" s="270"/>
      <c r="FED3" s="272"/>
      <c r="FEE3" s="270"/>
      <c r="FEF3" s="272"/>
      <c r="FEG3" s="270"/>
      <c r="FEH3" s="272"/>
      <c r="FEI3" s="270"/>
      <c r="FEJ3" s="272"/>
      <c r="FEK3" s="270"/>
      <c r="FEL3" s="272"/>
      <c r="FEM3" s="270"/>
      <c r="FEN3" s="272"/>
      <c r="FEO3" s="270"/>
      <c r="FEP3" s="272"/>
      <c r="FEQ3" s="270"/>
      <c r="FER3" s="272"/>
      <c r="FES3" s="270"/>
      <c r="FET3" s="272"/>
      <c r="FEU3" s="270"/>
      <c r="FEV3" s="272"/>
      <c r="FEW3" s="270"/>
      <c r="FEX3" s="272"/>
      <c r="FEY3" s="270"/>
      <c r="FEZ3" s="272"/>
      <c r="FFA3" s="270"/>
      <c r="FFB3" s="272"/>
      <c r="FFC3" s="270"/>
      <c r="FFD3" s="272"/>
      <c r="FFE3" s="270"/>
      <c r="FFF3" s="272"/>
      <c r="FFG3" s="270"/>
      <c r="FFH3" s="272"/>
      <c r="FFI3" s="270"/>
      <c r="FFJ3" s="272"/>
      <c r="FFK3" s="270"/>
      <c r="FFL3" s="272"/>
      <c r="FFM3" s="270"/>
      <c r="FFN3" s="272"/>
      <c r="FFO3" s="270"/>
      <c r="FFP3" s="272"/>
      <c r="FFQ3" s="270"/>
      <c r="FFR3" s="272"/>
      <c r="FFS3" s="270"/>
      <c r="FFT3" s="272"/>
      <c r="FFU3" s="270"/>
      <c r="FFV3" s="272"/>
      <c r="FFW3" s="270"/>
      <c r="FFX3" s="272"/>
      <c r="FFY3" s="270"/>
      <c r="FFZ3" s="272"/>
      <c r="FGA3" s="270"/>
      <c r="FGB3" s="272"/>
      <c r="FGC3" s="270"/>
      <c r="FGD3" s="272"/>
      <c r="FGE3" s="270"/>
      <c r="FGF3" s="272"/>
      <c r="FGG3" s="270"/>
      <c r="FGH3" s="272"/>
      <c r="FGI3" s="270"/>
      <c r="FGJ3" s="272"/>
      <c r="FGK3" s="270"/>
      <c r="FGL3" s="272"/>
      <c r="FGM3" s="270"/>
      <c r="FGN3" s="272"/>
      <c r="FGO3" s="270"/>
      <c r="FGP3" s="272"/>
      <c r="FGQ3" s="270"/>
      <c r="FGR3" s="272"/>
      <c r="FGS3" s="270"/>
      <c r="FGT3" s="272"/>
      <c r="FGU3" s="270"/>
      <c r="FGV3" s="272"/>
      <c r="FGW3" s="270"/>
      <c r="FGX3" s="272"/>
      <c r="FGY3" s="270"/>
      <c r="FGZ3" s="272"/>
      <c r="FHA3" s="270"/>
      <c r="FHB3" s="272"/>
      <c r="FHC3" s="270"/>
      <c r="FHD3" s="272"/>
      <c r="FHE3" s="270"/>
      <c r="FHF3" s="272"/>
      <c r="FHG3" s="270"/>
      <c r="FHH3" s="272"/>
      <c r="FHI3" s="270"/>
      <c r="FHJ3" s="272"/>
      <c r="FHK3" s="270"/>
      <c r="FHL3" s="272"/>
      <c r="FHM3" s="270"/>
      <c r="FHN3" s="272"/>
      <c r="FHO3" s="270"/>
      <c r="FHP3" s="272"/>
      <c r="FHQ3" s="270"/>
      <c r="FHR3" s="272"/>
      <c r="FHS3" s="270"/>
      <c r="FHT3" s="272"/>
      <c r="FHU3" s="270"/>
      <c r="FHV3" s="272"/>
      <c r="FHW3" s="270"/>
      <c r="FHX3" s="272"/>
      <c r="FHY3" s="270"/>
      <c r="FHZ3" s="272"/>
      <c r="FIA3" s="270"/>
      <c r="FIB3" s="272"/>
      <c r="FIC3" s="270"/>
      <c r="FID3" s="272"/>
      <c r="FIE3" s="270"/>
      <c r="FIF3" s="272"/>
      <c r="FIG3" s="270"/>
      <c r="FIH3" s="272"/>
      <c r="FII3" s="270"/>
      <c r="FIJ3" s="272"/>
      <c r="FIK3" s="270"/>
      <c r="FIL3" s="272"/>
      <c r="FIM3" s="270"/>
      <c r="FIN3" s="272"/>
      <c r="FIO3" s="270"/>
      <c r="FIP3" s="272"/>
      <c r="FIQ3" s="270"/>
      <c r="FIR3" s="272"/>
      <c r="FIS3" s="270"/>
      <c r="FIT3" s="272"/>
      <c r="FIU3" s="270"/>
      <c r="FIV3" s="272"/>
      <c r="FIW3" s="270"/>
      <c r="FIX3" s="272"/>
      <c r="FIY3" s="270"/>
      <c r="FIZ3" s="272"/>
      <c r="FJA3" s="270"/>
      <c r="FJB3" s="272"/>
      <c r="FJC3" s="270"/>
      <c r="FJD3" s="272"/>
      <c r="FJE3" s="270"/>
      <c r="FJF3" s="272"/>
      <c r="FJG3" s="270"/>
      <c r="FJH3" s="272"/>
      <c r="FJI3" s="270"/>
      <c r="FJJ3" s="272"/>
      <c r="FJK3" s="270"/>
      <c r="FJL3" s="272"/>
      <c r="FJM3" s="270"/>
      <c r="FJN3" s="272"/>
      <c r="FJO3" s="270"/>
      <c r="FJP3" s="272"/>
      <c r="FJQ3" s="270"/>
      <c r="FJR3" s="272"/>
      <c r="FJS3" s="270"/>
      <c r="FJT3" s="272"/>
      <c r="FJU3" s="270"/>
      <c r="FJV3" s="272"/>
      <c r="FJW3" s="270"/>
      <c r="FJX3" s="272"/>
      <c r="FJY3" s="270"/>
      <c r="FJZ3" s="272"/>
      <c r="FKA3" s="270"/>
      <c r="FKB3" s="272"/>
      <c r="FKC3" s="270"/>
      <c r="FKD3" s="272"/>
      <c r="FKE3" s="270"/>
      <c r="FKF3" s="272"/>
      <c r="FKG3" s="270"/>
      <c r="FKH3" s="272"/>
      <c r="FKI3" s="270"/>
      <c r="FKJ3" s="272"/>
      <c r="FKK3" s="270"/>
      <c r="FKL3" s="272"/>
      <c r="FKM3" s="270"/>
      <c r="FKN3" s="272"/>
      <c r="FKO3" s="270"/>
      <c r="FKP3" s="272"/>
      <c r="FKQ3" s="270"/>
      <c r="FKR3" s="272"/>
      <c r="FKS3" s="270"/>
      <c r="FKT3" s="272"/>
      <c r="FKU3" s="270"/>
      <c r="FKV3" s="272"/>
      <c r="FKW3" s="270"/>
      <c r="FKX3" s="272"/>
      <c r="FKY3" s="270"/>
      <c r="FKZ3" s="272"/>
      <c r="FLA3" s="270"/>
      <c r="FLB3" s="272"/>
      <c r="FLC3" s="270"/>
      <c r="FLD3" s="272"/>
      <c r="FLE3" s="270"/>
      <c r="FLF3" s="272"/>
      <c r="FLG3" s="270"/>
      <c r="FLH3" s="272"/>
      <c r="FLI3" s="270"/>
      <c r="FLJ3" s="272"/>
      <c r="FLK3" s="270"/>
      <c r="FLL3" s="272"/>
      <c r="FLM3" s="270"/>
      <c r="FLN3" s="272"/>
      <c r="FLO3" s="270"/>
      <c r="FLP3" s="272"/>
      <c r="FLQ3" s="270"/>
      <c r="FLR3" s="272"/>
      <c r="FLS3" s="270"/>
      <c r="FLT3" s="272"/>
      <c r="FLU3" s="270"/>
      <c r="FLV3" s="272"/>
      <c r="FLW3" s="270"/>
      <c r="FLX3" s="272"/>
      <c r="FLY3" s="270"/>
      <c r="FLZ3" s="272"/>
      <c r="FMA3" s="270"/>
      <c r="FMB3" s="272"/>
      <c r="FMC3" s="270"/>
      <c r="FMD3" s="272"/>
      <c r="FME3" s="270"/>
      <c r="FMF3" s="272"/>
      <c r="FMG3" s="270"/>
      <c r="FMH3" s="272"/>
      <c r="FMI3" s="270"/>
      <c r="FMJ3" s="272"/>
      <c r="FMK3" s="270"/>
      <c r="FML3" s="272"/>
      <c r="FMM3" s="270"/>
      <c r="FMN3" s="272"/>
      <c r="FMO3" s="270"/>
      <c r="FMP3" s="272"/>
      <c r="FMQ3" s="270"/>
      <c r="FMR3" s="272"/>
      <c r="FMS3" s="270"/>
      <c r="FMT3" s="272"/>
      <c r="FMU3" s="270"/>
      <c r="FMV3" s="272"/>
      <c r="FMW3" s="270"/>
      <c r="FMX3" s="272"/>
      <c r="FMY3" s="270"/>
      <c r="FMZ3" s="272"/>
      <c r="FNA3" s="270"/>
      <c r="FNB3" s="272"/>
      <c r="FNC3" s="270"/>
      <c r="FND3" s="272"/>
      <c r="FNE3" s="270"/>
      <c r="FNF3" s="272"/>
      <c r="FNG3" s="270"/>
      <c r="FNH3" s="272"/>
      <c r="FNI3" s="270"/>
      <c r="FNJ3" s="272"/>
      <c r="FNK3" s="270"/>
      <c r="FNL3" s="272"/>
      <c r="FNM3" s="270"/>
      <c r="FNN3" s="272"/>
      <c r="FNO3" s="270"/>
      <c r="FNP3" s="272"/>
      <c r="FNQ3" s="270"/>
      <c r="FNR3" s="272"/>
      <c r="FNS3" s="270"/>
      <c r="FNT3" s="272"/>
      <c r="FNU3" s="270"/>
      <c r="FNV3" s="272"/>
      <c r="FNW3" s="270"/>
      <c r="FNX3" s="272"/>
      <c r="FNY3" s="270"/>
      <c r="FNZ3" s="272"/>
      <c r="FOA3" s="270"/>
      <c r="FOB3" s="272"/>
      <c r="FOC3" s="270"/>
      <c r="FOD3" s="272"/>
      <c r="FOE3" s="270"/>
      <c r="FOF3" s="272"/>
      <c r="FOG3" s="270"/>
      <c r="FOH3" s="272"/>
      <c r="FOI3" s="270"/>
      <c r="FOJ3" s="272"/>
      <c r="FOK3" s="270"/>
      <c r="FOL3" s="272"/>
      <c r="FOM3" s="270"/>
      <c r="FON3" s="272"/>
      <c r="FOO3" s="270"/>
      <c r="FOP3" s="272"/>
      <c r="FOQ3" s="270"/>
      <c r="FOR3" s="272"/>
      <c r="FOS3" s="270"/>
      <c r="FOT3" s="272"/>
      <c r="FOU3" s="270"/>
      <c r="FOV3" s="272"/>
      <c r="FOW3" s="270"/>
      <c r="FOX3" s="272"/>
      <c r="FOY3" s="270"/>
      <c r="FOZ3" s="272"/>
      <c r="FPA3" s="270"/>
      <c r="FPB3" s="272"/>
      <c r="FPC3" s="270"/>
      <c r="FPD3" s="272"/>
      <c r="FPE3" s="270"/>
      <c r="FPF3" s="272"/>
      <c r="FPG3" s="270"/>
      <c r="FPH3" s="272"/>
      <c r="FPI3" s="270"/>
      <c r="FPJ3" s="272"/>
      <c r="FPK3" s="270"/>
      <c r="FPL3" s="272"/>
      <c r="FPM3" s="270"/>
      <c r="FPN3" s="272"/>
      <c r="FPO3" s="270"/>
      <c r="FPP3" s="272"/>
      <c r="FPQ3" s="270"/>
      <c r="FPR3" s="272"/>
      <c r="FPS3" s="270"/>
      <c r="FPT3" s="272"/>
      <c r="FPU3" s="270"/>
      <c r="FPV3" s="272"/>
      <c r="FPW3" s="270"/>
      <c r="FPX3" s="272"/>
      <c r="FPY3" s="270"/>
      <c r="FPZ3" s="272"/>
      <c r="FQA3" s="270"/>
      <c r="FQB3" s="272"/>
      <c r="FQC3" s="270"/>
      <c r="FQD3" s="272"/>
      <c r="FQE3" s="270"/>
      <c r="FQF3" s="272"/>
      <c r="FQG3" s="270"/>
      <c r="FQH3" s="272"/>
      <c r="FQI3" s="270"/>
      <c r="FQJ3" s="272"/>
      <c r="FQK3" s="270"/>
      <c r="FQL3" s="272"/>
      <c r="FQM3" s="270"/>
      <c r="FQN3" s="272"/>
      <c r="FQO3" s="270"/>
      <c r="FQP3" s="272"/>
      <c r="FQQ3" s="270"/>
      <c r="FQR3" s="272"/>
      <c r="FQS3" s="270"/>
      <c r="FQT3" s="272"/>
      <c r="FQU3" s="270"/>
      <c r="FQV3" s="272"/>
      <c r="FQW3" s="270"/>
      <c r="FQX3" s="272"/>
      <c r="FQY3" s="270"/>
      <c r="FQZ3" s="272"/>
      <c r="FRA3" s="270"/>
      <c r="FRB3" s="272"/>
      <c r="FRC3" s="270"/>
      <c r="FRD3" s="272"/>
      <c r="FRE3" s="270"/>
      <c r="FRF3" s="272"/>
      <c r="FRG3" s="270"/>
      <c r="FRH3" s="272"/>
      <c r="FRI3" s="270"/>
      <c r="FRJ3" s="272"/>
      <c r="FRK3" s="270"/>
      <c r="FRL3" s="272"/>
      <c r="FRM3" s="270"/>
      <c r="FRN3" s="272"/>
      <c r="FRO3" s="270"/>
      <c r="FRP3" s="272"/>
      <c r="FRQ3" s="270"/>
      <c r="FRR3" s="272"/>
      <c r="FRS3" s="270"/>
      <c r="FRT3" s="272"/>
      <c r="FRU3" s="270"/>
      <c r="FRV3" s="272"/>
      <c r="FRW3" s="270"/>
      <c r="FRX3" s="272"/>
      <c r="FRY3" s="270"/>
      <c r="FRZ3" s="272"/>
      <c r="FSA3" s="270"/>
      <c r="FSB3" s="272"/>
      <c r="FSC3" s="270"/>
      <c r="FSD3" s="272"/>
      <c r="FSE3" s="270"/>
      <c r="FSF3" s="272"/>
      <c r="FSG3" s="270"/>
      <c r="FSH3" s="272"/>
      <c r="FSI3" s="270"/>
      <c r="FSJ3" s="272"/>
      <c r="FSK3" s="270"/>
      <c r="FSL3" s="272"/>
      <c r="FSM3" s="270"/>
      <c r="FSN3" s="272"/>
      <c r="FSO3" s="270"/>
      <c r="FSP3" s="272"/>
      <c r="FSQ3" s="270"/>
      <c r="FSR3" s="272"/>
      <c r="FSS3" s="270"/>
      <c r="FST3" s="272"/>
      <c r="FSU3" s="270"/>
      <c r="FSV3" s="272"/>
      <c r="FSW3" s="270"/>
      <c r="FSX3" s="272"/>
      <c r="FSY3" s="270"/>
      <c r="FSZ3" s="272"/>
      <c r="FTA3" s="270"/>
      <c r="FTB3" s="272"/>
      <c r="FTC3" s="270"/>
      <c r="FTD3" s="272"/>
      <c r="FTE3" s="270"/>
      <c r="FTF3" s="272"/>
      <c r="FTG3" s="270"/>
      <c r="FTH3" s="272"/>
      <c r="FTI3" s="270"/>
      <c r="FTJ3" s="272"/>
      <c r="FTK3" s="270"/>
      <c r="FTL3" s="272"/>
      <c r="FTM3" s="270"/>
      <c r="FTN3" s="272"/>
      <c r="FTO3" s="270"/>
      <c r="FTP3" s="272"/>
      <c r="FTQ3" s="270"/>
      <c r="FTR3" s="272"/>
      <c r="FTS3" s="270"/>
      <c r="FTT3" s="272"/>
      <c r="FTU3" s="270"/>
      <c r="FTV3" s="272"/>
      <c r="FTW3" s="270"/>
      <c r="FTX3" s="272"/>
      <c r="FTY3" s="270"/>
      <c r="FTZ3" s="272"/>
      <c r="FUA3" s="270"/>
      <c r="FUB3" s="272"/>
      <c r="FUC3" s="270"/>
      <c r="FUD3" s="272"/>
      <c r="FUE3" s="270"/>
      <c r="FUF3" s="272"/>
      <c r="FUG3" s="270"/>
      <c r="FUH3" s="272"/>
      <c r="FUI3" s="270"/>
      <c r="FUJ3" s="272"/>
      <c r="FUK3" s="270"/>
      <c r="FUL3" s="272"/>
      <c r="FUM3" s="270"/>
      <c r="FUN3" s="272"/>
      <c r="FUO3" s="270"/>
      <c r="FUP3" s="272"/>
      <c r="FUQ3" s="270"/>
      <c r="FUR3" s="272"/>
      <c r="FUS3" s="270"/>
      <c r="FUT3" s="272"/>
      <c r="FUU3" s="270"/>
      <c r="FUV3" s="272"/>
      <c r="FUW3" s="270"/>
      <c r="FUX3" s="272"/>
      <c r="FUY3" s="270"/>
      <c r="FUZ3" s="272"/>
      <c r="FVA3" s="270"/>
      <c r="FVB3" s="272"/>
      <c r="FVC3" s="270"/>
      <c r="FVD3" s="272"/>
      <c r="FVE3" s="270"/>
      <c r="FVF3" s="272"/>
      <c r="FVG3" s="270"/>
      <c r="FVH3" s="272"/>
      <c r="FVI3" s="270"/>
      <c r="FVJ3" s="272"/>
      <c r="FVK3" s="270"/>
      <c r="FVL3" s="272"/>
      <c r="FVM3" s="270"/>
      <c r="FVN3" s="272"/>
      <c r="FVO3" s="270"/>
      <c r="FVP3" s="272"/>
      <c r="FVQ3" s="270"/>
      <c r="FVR3" s="272"/>
      <c r="FVS3" s="270"/>
      <c r="FVT3" s="272"/>
      <c r="FVU3" s="270"/>
      <c r="FVV3" s="272"/>
      <c r="FVW3" s="270"/>
      <c r="FVX3" s="272"/>
      <c r="FVY3" s="270"/>
      <c r="FVZ3" s="272"/>
      <c r="FWA3" s="270"/>
      <c r="FWB3" s="272"/>
      <c r="FWC3" s="270"/>
      <c r="FWD3" s="272"/>
      <c r="FWE3" s="270"/>
      <c r="FWF3" s="272"/>
      <c r="FWG3" s="270"/>
      <c r="FWH3" s="272"/>
      <c r="FWI3" s="270"/>
      <c r="FWJ3" s="272"/>
      <c r="FWK3" s="270"/>
      <c r="FWL3" s="272"/>
      <c r="FWM3" s="270"/>
      <c r="FWN3" s="272"/>
      <c r="FWO3" s="270"/>
      <c r="FWP3" s="272"/>
      <c r="FWQ3" s="270"/>
      <c r="FWR3" s="272"/>
      <c r="FWS3" s="270"/>
      <c r="FWT3" s="272"/>
      <c r="FWU3" s="270"/>
      <c r="FWV3" s="272"/>
      <c r="FWW3" s="270"/>
      <c r="FWX3" s="272"/>
      <c r="FWY3" s="270"/>
      <c r="FWZ3" s="272"/>
      <c r="FXA3" s="270"/>
      <c r="FXB3" s="272"/>
      <c r="FXC3" s="270"/>
      <c r="FXD3" s="272"/>
      <c r="FXE3" s="270"/>
      <c r="FXF3" s="272"/>
      <c r="FXG3" s="270"/>
      <c r="FXH3" s="272"/>
      <c r="FXI3" s="270"/>
      <c r="FXJ3" s="272"/>
      <c r="FXK3" s="270"/>
      <c r="FXL3" s="272"/>
      <c r="FXM3" s="270"/>
      <c r="FXN3" s="272"/>
      <c r="FXO3" s="270"/>
      <c r="FXP3" s="272"/>
      <c r="FXQ3" s="270"/>
      <c r="FXR3" s="272"/>
      <c r="FXS3" s="270"/>
      <c r="FXT3" s="272"/>
      <c r="FXU3" s="270"/>
      <c r="FXV3" s="272"/>
      <c r="FXW3" s="270"/>
      <c r="FXX3" s="272"/>
      <c r="FXY3" s="270"/>
      <c r="FXZ3" s="272"/>
      <c r="FYA3" s="270"/>
      <c r="FYB3" s="272"/>
      <c r="FYC3" s="270"/>
      <c r="FYD3" s="272"/>
      <c r="FYE3" s="270"/>
      <c r="FYF3" s="272"/>
      <c r="FYG3" s="270"/>
      <c r="FYH3" s="272"/>
      <c r="FYI3" s="270"/>
      <c r="FYJ3" s="272"/>
      <c r="FYK3" s="270"/>
      <c r="FYL3" s="272"/>
      <c r="FYM3" s="270"/>
      <c r="FYN3" s="272"/>
      <c r="FYO3" s="270"/>
      <c r="FYP3" s="272"/>
      <c r="FYQ3" s="270"/>
      <c r="FYR3" s="272"/>
      <c r="FYS3" s="270"/>
      <c r="FYT3" s="272"/>
      <c r="FYU3" s="270"/>
      <c r="FYV3" s="272"/>
      <c r="FYW3" s="270"/>
      <c r="FYX3" s="272"/>
      <c r="FYY3" s="270"/>
      <c r="FYZ3" s="272"/>
      <c r="FZA3" s="270"/>
      <c r="FZB3" s="272"/>
      <c r="FZC3" s="270"/>
      <c r="FZD3" s="272"/>
      <c r="FZE3" s="270"/>
      <c r="FZF3" s="272"/>
      <c r="FZG3" s="270"/>
      <c r="FZH3" s="272"/>
      <c r="FZI3" s="270"/>
      <c r="FZJ3" s="272"/>
      <c r="FZK3" s="270"/>
      <c r="FZL3" s="272"/>
      <c r="FZM3" s="270"/>
      <c r="FZN3" s="272"/>
      <c r="FZO3" s="270"/>
      <c r="FZP3" s="272"/>
      <c r="FZQ3" s="270"/>
      <c r="FZR3" s="272"/>
      <c r="FZS3" s="270"/>
      <c r="FZT3" s="272"/>
      <c r="FZU3" s="270"/>
      <c r="FZV3" s="272"/>
      <c r="FZW3" s="270"/>
      <c r="FZX3" s="272"/>
      <c r="FZY3" s="270"/>
      <c r="FZZ3" s="272"/>
      <c r="GAA3" s="270"/>
      <c r="GAB3" s="272"/>
      <c r="GAC3" s="270"/>
      <c r="GAD3" s="272"/>
      <c r="GAE3" s="270"/>
      <c r="GAF3" s="272"/>
      <c r="GAG3" s="270"/>
      <c r="GAH3" s="272"/>
      <c r="GAI3" s="270"/>
      <c r="GAJ3" s="272"/>
      <c r="GAK3" s="270"/>
      <c r="GAL3" s="272"/>
      <c r="GAM3" s="270"/>
      <c r="GAN3" s="272"/>
      <c r="GAO3" s="270"/>
      <c r="GAP3" s="272"/>
      <c r="GAQ3" s="270"/>
      <c r="GAR3" s="272"/>
      <c r="GAS3" s="270"/>
      <c r="GAT3" s="272"/>
      <c r="GAU3" s="270"/>
      <c r="GAV3" s="272"/>
      <c r="GAW3" s="270"/>
      <c r="GAX3" s="272"/>
      <c r="GAY3" s="270"/>
      <c r="GAZ3" s="272"/>
      <c r="GBA3" s="270"/>
      <c r="GBB3" s="272"/>
      <c r="GBC3" s="270"/>
      <c r="GBD3" s="272"/>
      <c r="GBE3" s="270"/>
      <c r="GBF3" s="272"/>
      <c r="GBG3" s="270"/>
      <c r="GBH3" s="272"/>
      <c r="GBI3" s="270"/>
      <c r="GBJ3" s="272"/>
      <c r="GBK3" s="270"/>
      <c r="GBL3" s="272"/>
      <c r="GBM3" s="270"/>
      <c r="GBN3" s="272"/>
      <c r="GBO3" s="270"/>
      <c r="GBP3" s="272"/>
      <c r="GBQ3" s="270"/>
      <c r="GBR3" s="272"/>
      <c r="GBS3" s="270"/>
      <c r="GBT3" s="272"/>
      <c r="GBU3" s="270"/>
      <c r="GBV3" s="272"/>
      <c r="GBW3" s="270"/>
      <c r="GBX3" s="272"/>
      <c r="GBY3" s="270"/>
      <c r="GBZ3" s="272"/>
      <c r="GCA3" s="270"/>
      <c r="GCB3" s="272"/>
      <c r="GCC3" s="270"/>
      <c r="GCD3" s="272"/>
      <c r="GCE3" s="270"/>
      <c r="GCF3" s="272"/>
      <c r="GCG3" s="270"/>
      <c r="GCH3" s="272"/>
      <c r="GCI3" s="270"/>
      <c r="GCJ3" s="272"/>
      <c r="GCK3" s="270"/>
      <c r="GCL3" s="272"/>
      <c r="GCM3" s="270"/>
      <c r="GCN3" s="272"/>
      <c r="GCO3" s="270"/>
      <c r="GCP3" s="272"/>
      <c r="GCQ3" s="270"/>
      <c r="GCR3" s="272"/>
      <c r="GCS3" s="270"/>
      <c r="GCT3" s="272"/>
      <c r="GCU3" s="270"/>
      <c r="GCV3" s="272"/>
      <c r="GCW3" s="270"/>
      <c r="GCX3" s="272"/>
      <c r="GCY3" s="270"/>
      <c r="GCZ3" s="272"/>
      <c r="GDA3" s="270"/>
      <c r="GDB3" s="272"/>
      <c r="GDC3" s="270"/>
      <c r="GDD3" s="272"/>
      <c r="GDE3" s="270"/>
      <c r="GDF3" s="272"/>
      <c r="GDG3" s="270"/>
      <c r="GDH3" s="272"/>
      <c r="GDI3" s="270"/>
      <c r="GDJ3" s="272"/>
      <c r="GDK3" s="270"/>
      <c r="GDL3" s="272"/>
      <c r="GDM3" s="270"/>
      <c r="GDN3" s="272"/>
      <c r="GDO3" s="270"/>
      <c r="GDP3" s="272"/>
      <c r="GDQ3" s="270"/>
      <c r="GDR3" s="272"/>
      <c r="GDS3" s="270"/>
      <c r="GDT3" s="272"/>
      <c r="GDU3" s="270"/>
      <c r="GDV3" s="272"/>
      <c r="GDW3" s="270"/>
      <c r="GDX3" s="272"/>
      <c r="GDY3" s="270"/>
      <c r="GDZ3" s="272"/>
      <c r="GEA3" s="270"/>
      <c r="GEB3" s="272"/>
      <c r="GEC3" s="270"/>
      <c r="GED3" s="272"/>
      <c r="GEE3" s="270"/>
      <c r="GEF3" s="272"/>
      <c r="GEG3" s="270"/>
      <c r="GEH3" s="272"/>
      <c r="GEI3" s="270"/>
      <c r="GEJ3" s="272"/>
      <c r="GEK3" s="270"/>
      <c r="GEL3" s="272"/>
      <c r="GEM3" s="270"/>
      <c r="GEN3" s="272"/>
      <c r="GEO3" s="270"/>
      <c r="GEP3" s="272"/>
      <c r="GEQ3" s="270"/>
      <c r="GER3" s="272"/>
      <c r="GES3" s="270"/>
      <c r="GET3" s="272"/>
      <c r="GEU3" s="270"/>
      <c r="GEV3" s="272"/>
      <c r="GEW3" s="270"/>
      <c r="GEX3" s="272"/>
      <c r="GEY3" s="270"/>
      <c r="GEZ3" s="272"/>
      <c r="GFA3" s="270"/>
      <c r="GFB3" s="272"/>
      <c r="GFC3" s="270"/>
      <c r="GFD3" s="272"/>
      <c r="GFE3" s="270"/>
      <c r="GFF3" s="272"/>
      <c r="GFG3" s="270"/>
      <c r="GFH3" s="272"/>
      <c r="GFI3" s="270"/>
      <c r="GFJ3" s="272"/>
      <c r="GFK3" s="270"/>
      <c r="GFL3" s="272"/>
      <c r="GFM3" s="270"/>
      <c r="GFN3" s="272"/>
      <c r="GFO3" s="270"/>
      <c r="GFP3" s="272"/>
      <c r="GFQ3" s="270"/>
      <c r="GFR3" s="272"/>
      <c r="GFS3" s="270"/>
      <c r="GFT3" s="272"/>
      <c r="GFU3" s="270"/>
      <c r="GFV3" s="272"/>
      <c r="GFW3" s="270"/>
      <c r="GFX3" s="272"/>
      <c r="GFY3" s="270"/>
      <c r="GFZ3" s="272"/>
      <c r="GGA3" s="270"/>
      <c r="GGB3" s="272"/>
      <c r="GGC3" s="270"/>
      <c r="GGD3" s="272"/>
      <c r="GGE3" s="270"/>
      <c r="GGF3" s="272"/>
      <c r="GGG3" s="270"/>
      <c r="GGH3" s="272"/>
      <c r="GGI3" s="270"/>
      <c r="GGJ3" s="272"/>
      <c r="GGK3" s="270"/>
      <c r="GGL3" s="272"/>
      <c r="GGM3" s="270"/>
      <c r="GGN3" s="272"/>
      <c r="GGO3" s="270"/>
      <c r="GGP3" s="272"/>
      <c r="GGQ3" s="270"/>
      <c r="GGR3" s="272"/>
      <c r="GGS3" s="270"/>
      <c r="GGT3" s="272"/>
      <c r="GGU3" s="270"/>
      <c r="GGV3" s="272"/>
      <c r="GGW3" s="270"/>
      <c r="GGX3" s="272"/>
      <c r="GGY3" s="270"/>
      <c r="GGZ3" s="272"/>
      <c r="GHA3" s="270"/>
      <c r="GHB3" s="272"/>
      <c r="GHC3" s="270"/>
      <c r="GHD3" s="272"/>
      <c r="GHE3" s="270"/>
      <c r="GHF3" s="272"/>
      <c r="GHG3" s="270"/>
      <c r="GHH3" s="272"/>
      <c r="GHI3" s="270"/>
      <c r="GHJ3" s="272"/>
      <c r="GHK3" s="270"/>
      <c r="GHL3" s="272"/>
      <c r="GHM3" s="270"/>
      <c r="GHN3" s="272"/>
      <c r="GHO3" s="270"/>
      <c r="GHP3" s="272"/>
      <c r="GHQ3" s="270"/>
      <c r="GHR3" s="272"/>
      <c r="GHS3" s="270"/>
      <c r="GHT3" s="272"/>
      <c r="GHU3" s="270"/>
      <c r="GHV3" s="272"/>
      <c r="GHW3" s="270"/>
      <c r="GHX3" s="272"/>
      <c r="GHY3" s="270"/>
      <c r="GHZ3" s="272"/>
      <c r="GIA3" s="270"/>
      <c r="GIB3" s="272"/>
      <c r="GIC3" s="270"/>
      <c r="GID3" s="272"/>
      <c r="GIE3" s="270"/>
      <c r="GIF3" s="272"/>
      <c r="GIG3" s="270"/>
      <c r="GIH3" s="272"/>
      <c r="GII3" s="270"/>
      <c r="GIJ3" s="272"/>
      <c r="GIK3" s="270"/>
      <c r="GIL3" s="272"/>
      <c r="GIM3" s="270"/>
      <c r="GIN3" s="272"/>
      <c r="GIO3" s="270"/>
      <c r="GIP3" s="272"/>
      <c r="GIQ3" s="270"/>
      <c r="GIR3" s="272"/>
      <c r="GIS3" s="270"/>
      <c r="GIT3" s="272"/>
      <c r="GIU3" s="270"/>
      <c r="GIV3" s="272"/>
      <c r="GIW3" s="270"/>
      <c r="GIX3" s="272"/>
      <c r="GIY3" s="270"/>
      <c r="GIZ3" s="272"/>
      <c r="GJA3" s="270"/>
      <c r="GJB3" s="272"/>
      <c r="GJC3" s="270"/>
      <c r="GJD3" s="272"/>
      <c r="GJE3" s="270"/>
      <c r="GJF3" s="272"/>
      <c r="GJG3" s="270"/>
      <c r="GJH3" s="272"/>
      <c r="GJI3" s="270"/>
      <c r="GJJ3" s="272"/>
      <c r="GJK3" s="270"/>
      <c r="GJL3" s="272"/>
      <c r="GJM3" s="270"/>
      <c r="GJN3" s="272"/>
      <c r="GJO3" s="270"/>
      <c r="GJP3" s="272"/>
      <c r="GJQ3" s="270"/>
      <c r="GJR3" s="272"/>
      <c r="GJS3" s="270"/>
      <c r="GJT3" s="272"/>
      <c r="GJU3" s="270"/>
      <c r="GJV3" s="272"/>
      <c r="GJW3" s="270"/>
      <c r="GJX3" s="272"/>
      <c r="GJY3" s="270"/>
      <c r="GJZ3" s="272"/>
      <c r="GKA3" s="270"/>
      <c r="GKB3" s="272"/>
      <c r="GKC3" s="270"/>
      <c r="GKD3" s="272"/>
      <c r="GKE3" s="270"/>
      <c r="GKF3" s="272"/>
      <c r="GKG3" s="270"/>
      <c r="GKH3" s="272"/>
      <c r="GKI3" s="270"/>
      <c r="GKJ3" s="272"/>
      <c r="GKK3" s="270"/>
      <c r="GKL3" s="272"/>
      <c r="GKM3" s="270"/>
      <c r="GKN3" s="272"/>
      <c r="GKO3" s="270"/>
      <c r="GKP3" s="272"/>
      <c r="GKQ3" s="270"/>
      <c r="GKR3" s="272"/>
      <c r="GKS3" s="270"/>
      <c r="GKT3" s="272"/>
      <c r="GKU3" s="270"/>
      <c r="GKV3" s="272"/>
      <c r="GKW3" s="270"/>
      <c r="GKX3" s="272"/>
      <c r="GKY3" s="270"/>
      <c r="GKZ3" s="272"/>
      <c r="GLA3" s="270"/>
      <c r="GLB3" s="272"/>
      <c r="GLC3" s="270"/>
      <c r="GLD3" s="272"/>
      <c r="GLE3" s="270"/>
      <c r="GLF3" s="272"/>
      <c r="GLG3" s="270"/>
      <c r="GLH3" s="272"/>
      <c r="GLI3" s="270"/>
      <c r="GLJ3" s="272"/>
      <c r="GLK3" s="270"/>
      <c r="GLL3" s="272"/>
      <c r="GLM3" s="270"/>
      <c r="GLN3" s="272"/>
      <c r="GLO3" s="270"/>
      <c r="GLP3" s="272"/>
      <c r="GLQ3" s="270"/>
      <c r="GLR3" s="272"/>
      <c r="GLS3" s="270"/>
      <c r="GLT3" s="272"/>
      <c r="GLU3" s="270"/>
      <c r="GLV3" s="272"/>
      <c r="GLW3" s="270"/>
      <c r="GLX3" s="272"/>
      <c r="GLY3" s="270"/>
      <c r="GLZ3" s="272"/>
      <c r="GMA3" s="270"/>
      <c r="GMB3" s="272"/>
      <c r="GMC3" s="270"/>
      <c r="GMD3" s="272"/>
      <c r="GME3" s="270"/>
      <c r="GMF3" s="272"/>
      <c r="GMG3" s="270"/>
      <c r="GMH3" s="272"/>
      <c r="GMI3" s="270"/>
      <c r="GMJ3" s="272"/>
      <c r="GMK3" s="270"/>
      <c r="GML3" s="272"/>
      <c r="GMM3" s="270"/>
      <c r="GMN3" s="272"/>
      <c r="GMO3" s="270"/>
      <c r="GMP3" s="272"/>
      <c r="GMQ3" s="270"/>
      <c r="GMR3" s="272"/>
      <c r="GMS3" s="270"/>
      <c r="GMT3" s="272"/>
      <c r="GMU3" s="270"/>
      <c r="GMV3" s="272"/>
      <c r="GMW3" s="270"/>
      <c r="GMX3" s="272"/>
      <c r="GMY3" s="270"/>
      <c r="GMZ3" s="272"/>
      <c r="GNA3" s="270"/>
      <c r="GNB3" s="272"/>
      <c r="GNC3" s="270"/>
      <c r="GND3" s="272"/>
      <c r="GNE3" s="270"/>
      <c r="GNF3" s="272"/>
      <c r="GNG3" s="270"/>
      <c r="GNH3" s="272"/>
      <c r="GNI3" s="270"/>
      <c r="GNJ3" s="272"/>
      <c r="GNK3" s="270"/>
      <c r="GNL3" s="272"/>
      <c r="GNM3" s="270"/>
      <c r="GNN3" s="272"/>
      <c r="GNO3" s="270"/>
      <c r="GNP3" s="272"/>
      <c r="GNQ3" s="270"/>
      <c r="GNR3" s="272"/>
      <c r="GNS3" s="270"/>
      <c r="GNT3" s="272"/>
      <c r="GNU3" s="270"/>
      <c r="GNV3" s="272"/>
      <c r="GNW3" s="270"/>
      <c r="GNX3" s="272"/>
      <c r="GNY3" s="270"/>
      <c r="GNZ3" s="272"/>
      <c r="GOA3" s="270"/>
      <c r="GOB3" s="272"/>
      <c r="GOC3" s="270"/>
      <c r="GOD3" s="272"/>
      <c r="GOE3" s="270"/>
      <c r="GOF3" s="272"/>
      <c r="GOG3" s="270"/>
      <c r="GOH3" s="272"/>
      <c r="GOI3" s="270"/>
      <c r="GOJ3" s="272"/>
      <c r="GOK3" s="270"/>
      <c r="GOL3" s="272"/>
      <c r="GOM3" s="270"/>
      <c r="GON3" s="272"/>
      <c r="GOO3" s="270"/>
      <c r="GOP3" s="272"/>
      <c r="GOQ3" s="270"/>
      <c r="GOR3" s="272"/>
      <c r="GOS3" s="270"/>
      <c r="GOT3" s="272"/>
      <c r="GOU3" s="270"/>
      <c r="GOV3" s="272"/>
      <c r="GOW3" s="270"/>
      <c r="GOX3" s="272"/>
      <c r="GOY3" s="270"/>
      <c r="GOZ3" s="272"/>
      <c r="GPA3" s="270"/>
      <c r="GPB3" s="272"/>
      <c r="GPC3" s="270"/>
      <c r="GPD3" s="272"/>
      <c r="GPE3" s="270"/>
      <c r="GPF3" s="272"/>
      <c r="GPG3" s="270"/>
      <c r="GPH3" s="272"/>
      <c r="GPI3" s="270"/>
      <c r="GPJ3" s="272"/>
      <c r="GPK3" s="270"/>
      <c r="GPL3" s="272"/>
      <c r="GPM3" s="270"/>
      <c r="GPN3" s="272"/>
      <c r="GPO3" s="270"/>
      <c r="GPP3" s="272"/>
      <c r="GPQ3" s="270"/>
      <c r="GPR3" s="272"/>
      <c r="GPS3" s="270"/>
      <c r="GPT3" s="272"/>
      <c r="GPU3" s="270"/>
      <c r="GPV3" s="272"/>
      <c r="GPW3" s="270"/>
      <c r="GPX3" s="272"/>
      <c r="GPY3" s="270"/>
      <c r="GPZ3" s="272"/>
      <c r="GQA3" s="270"/>
      <c r="GQB3" s="272"/>
      <c r="GQC3" s="270"/>
      <c r="GQD3" s="272"/>
      <c r="GQE3" s="270"/>
      <c r="GQF3" s="272"/>
      <c r="GQG3" s="270"/>
      <c r="GQH3" s="272"/>
      <c r="GQI3" s="270"/>
      <c r="GQJ3" s="272"/>
      <c r="GQK3" s="270"/>
      <c r="GQL3" s="272"/>
      <c r="GQM3" s="270"/>
      <c r="GQN3" s="272"/>
      <c r="GQO3" s="270"/>
      <c r="GQP3" s="272"/>
      <c r="GQQ3" s="270"/>
      <c r="GQR3" s="272"/>
      <c r="GQS3" s="270"/>
      <c r="GQT3" s="272"/>
      <c r="GQU3" s="270"/>
      <c r="GQV3" s="272"/>
      <c r="GQW3" s="270"/>
      <c r="GQX3" s="272"/>
      <c r="GQY3" s="270"/>
      <c r="GQZ3" s="272"/>
      <c r="GRA3" s="270"/>
      <c r="GRB3" s="272"/>
      <c r="GRC3" s="270"/>
      <c r="GRD3" s="272"/>
      <c r="GRE3" s="270"/>
      <c r="GRF3" s="272"/>
      <c r="GRG3" s="270"/>
      <c r="GRH3" s="272"/>
      <c r="GRI3" s="270"/>
      <c r="GRJ3" s="272"/>
      <c r="GRK3" s="270"/>
      <c r="GRL3" s="272"/>
      <c r="GRM3" s="270"/>
      <c r="GRN3" s="272"/>
      <c r="GRO3" s="270"/>
      <c r="GRP3" s="272"/>
      <c r="GRQ3" s="270"/>
      <c r="GRR3" s="272"/>
      <c r="GRS3" s="270"/>
      <c r="GRT3" s="272"/>
      <c r="GRU3" s="270"/>
      <c r="GRV3" s="272"/>
      <c r="GRW3" s="270"/>
      <c r="GRX3" s="272"/>
      <c r="GRY3" s="270"/>
      <c r="GRZ3" s="272"/>
      <c r="GSA3" s="270"/>
      <c r="GSB3" s="272"/>
      <c r="GSC3" s="270"/>
      <c r="GSD3" s="272"/>
      <c r="GSE3" s="270"/>
      <c r="GSF3" s="272"/>
      <c r="GSG3" s="270"/>
      <c r="GSH3" s="272"/>
      <c r="GSI3" s="270"/>
      <c r="GSJ3" s="272"/>
      <c r="GSK3" s="270"/>
      <c r="GSL3" s="272"/>
      <c r="GSM3" s="270"/>
      <c r="GSN3" s="272"/>
      <c r="GSO3" s="270"/>
      <c r="GSP3" s="272"/>
      <c r="GSQ3" s="270"/>
      <c r="GSR3" s="272"/>
      <c r="GSS3" s="270"/>
      <c r="GST3" s="272"/>
      <c r="GSU3" s="270"/>
      <c r="GSV3" s="272"/>
      <c r="GSW3" s="270"/>
      <c r="GSX3" s="272"/>
      <c r="GSY3" s="270"/>
      <c r="GSZ3" s="272"/>
      <c r="GTA3" s="270"/>
      <c r="GTB3" s="272"/>
      <c r="GTC3" s="270"/>
      <c r="GTD3" s="272"/>
      <c r="GTE3" s="270"/>
      <c r="GTF3" s="272"/>
      <c r="GTG3" s="270"/>
      <c r="GTH3" s="272"/>
      <c r="GTI3" s="270"/>
      <c r="GTJ3" s="272"/>
      <c r="GTK3" s="270"/>
      <c r="GTL3" s="272"/>
      <c r="GTM3" s="270"/>
      <c r="GTN3" s="272"/>
      <c r="GTO3" s="270"/>
      <c r="GTP3" s="272"/>
      <c r="GTQ3" s="270"/>
      <c r="GTR3" s="272"/>
      <c r="GTS3" s="270"/>
      <c r="GTT3" s="272"/>
      <c r="GTU3" s="270"/>
      <c r="GTV3" s="272"/>
      <c r="GTW3" s="270"/>
      <c r="GTX3" s="272"/>
      <c r="GTY3" s="270"/>
      <c r="GTZ3" s="272"/>
      <c r="GUA3" s="270"/>
      <c r="GUB3" s="272"/>
      <c r="GUC3" s="270"/>
      <c r="GUD3" s="272"/>
      <c r="GUE3" s="270"/>
      <c r="GUF3" s="272"/>
      <c r="GUG3" s="270"/>
      <c r="GUH3" s="272"/>
      <c r="GUI3" s="270"/>
      <c r="GUJ3" s="272"/>
      <c r="GUK3" s="270"/>
      <c r="GUL3" s="272"/>
      <c r="GUM3" s="270"/>
      <c r="GUN3" s="272"/>
      <c r="GUO3" s="270"/>
      <c r="GUP3" s="272"/>
      <c r="GUQ3" s="270"/>
      <c r="GUR3" s="272"/>
      <c r="GUS3" s="270"/>
      <c r="GUT3" s="272"/>
      <c r="GUU3" s="270"/>
      <c r="GUV3" s="272"/>
      <c r="GUW3" s="270"/>
      <c r="GUX3" s="272"/>
      <c r="GUY3" s="270"/>
      <c r="GUZ3" s="272"/>
      <c r="GVA3" s="270"/>
      <c r="GVB3" s="272"/>
      <c r="GVC3" s="270"/>
      <c r="GVD3" s="272"/>
      <c r="GVE3" s="270"/>
      <c r="GVF3" s="272"/>
      <c r="GVG3" s="270"/>
      <c r="GVH3" s="272"/>
      <c r="GVI3" s="270"/>
      <c r="GVJ3" s="272"/>
      <c r="GVK3" s="270"/>
      <c r="GVL3" s="272"/>
      <c r="GVM3" s="270"/>
      <c r="GVN3" s="272"/>
      <c r="GVO3" s="270"/>
      <c r="GVP3" s="272"/>
      <c r="GVQ3" s="270"/>
      <c r="GVR3" s="272"/>
      <c r="GVS3" s="270"/>
      <c r="GVT3" s="272"/>
      <c r="GVU3" s="270"/>
      <c r="GVV3" s="272"/>
      <c r="GVW3" s="270"/>
      <c r="GVX3" s="272"/>
      <c r="GVY3" s="270"/>
      <c r="GVZ3" s="272"/>
      <c r="GWA3" s="270"/>
      <c r="GWB3" s="272"/>
      <c r="GWC3" s="270"/>
      <c r="GWD3" s="272"/>
      <c r="GWE3" s="270"/>
      <c r="GWF3" s="272"/>
      <c r="GWG3" s="270"/>
      <c r="GWH3" s="272"/>
      <c r="GWI3" s="270"/>
      <c r="GWJ3" s="272"/>
      <c r="GWK3" s="270"/>
      <c r="GWL3" s="272"/>
      <c r="GWM3" s="270"/>
      <c r="GWN3" s="272"/>
      <c r="GWO3" s="270"/>
      <c r="GWP3" s="272"/>
      <c r="GWQ3" s="270"/>
      <c r="GWR3" s="272"/>
      <c r="GWS3" s="270"/>
      <c r="GWT3" s="272"/>
      <c r="GWU3" s="270"/>
      <c r="GWV3" s="272"/>
      <c r="GWW3" s="270"/>
      <c r="GWX3" s="272"/>
      <c r="GWY3" s="270"/>
      <c r="GWZ3" s="272"/>
      <c r="GXA3" s="270"/>
      <c r="GXB3" s="272"/>
      <c r="GXC3" s="270"/>
      <c r="GXD3" s="272"/>
      <c r="GXE3" s="270"/>
      <c r="GXF3" s="272"/>
      <c r="GXG3" s="270"/>
      <c r="GXH3" s="272"/>
      <c r="GXI3" s="270"/>
      <c r="GXJ3" s="272"/>
      <c r="GXK3" s="270"/>
      <c r="GXL3" s="272"/>
      <c r="GXM3" s="270"/>
      <c r="GXN3" s="272"/>
      <c r="GXO3" s="270"/>
      <c r="GXP3" s="272"/>
      <c r="GXQ3" s="270"/>
      <c r="GXR3" s="272"/>
      <c r="GXS3" s="270"/>
      <c r="GXT3" s="272"/>
      <c r="GXU3" s="270"/>
      <c r="GXV3" s="272"/>
      <c r="GXW3" s="270"/>
      <c r="GXX3" s="272"/>
      <c r="GXY3" s="270"/>
      <c r="GXZ3" s="272"/>
      <c r="GYA3" s="270"/>
      <c r="GYB3" s="272"/>
      <c r="GYC3" s="270"/>
      <c r="GYD3" s="272"/>
      <c r="GYE3" s="270"/>
      <c r="GYF3" s="272"/>
      <c r="GYG3" s="270"/>
      <c r="GYH3" s="272"/>
      <c r="GYI3" s="270"/>
      <c r="GYJ3" s="272"/>
      <c r="GYK3" s="270"/>
      <c r="GYL3" s="272"/>
      <c r="GYM3" s="270"/>
      <c r="GYN3" s="272"/>
      <c r="GYO3" s="270"/>
      <c r="GYP3" s="272"/>
      <c r="GYQ3" s="270"/>
      <c r="GYR3" s="272"/>
      <c r="GYS3" s="270"/>
      <c r="GYT3" s="272"/>
      <c r="GYU3" s="270"/>
      <c r="GYV3" s="272"/>
      <c r="GYW3" s="270"/>
      <c r="GYX3" s="272"/>
      <c r="GYY3" s="270"/>
      <c r="GYZ3" s="272"/>
      <c r="GZA3" s="270"/>
      <c r="GZB3" s="272"/>
      <c r="GZC3" s="270"/>
      <c r="GZD3" s="272"/>
      <c r="GZE3" s="270"/>
      <c r="GZF3" s="272"/>
      <c r="GZG3" s="270"/>
      <c r="GZH3" s="272"/>
      <c r="GZI3" s="270"/>
      <c r="GZJ3" s="272"/>
      <c r="GZK3" s="270"/>
      <c r="GZL3" s="272"/>
      <c r="GZM3" s="270"/>
      <c r="GZN3" s="272"/>
      <c r="GZO3" s="270"/>
      <c r="GZP3" s="272"/>
      <c r="GZQ3" s="270"/>
      <c r="GZR3" s="272"/>
      <c r="GZS3" s="270"/>
      <c r="GZT3" s="272"/>
      <c r="GZU3" s="270"/>
      <c r="GZV3" s="272"/>
      <c r="GZW3" s="270"/>
      <c r="GZX3" s="272"/>
      <c r="GZY3" s="270"/>
      <c r="GZZ3" s="272"/>
      <c r="HAA3" s="270"/>
      <c r="HAB3" s="272"/>
      <c r="HAC3" s="270"/>
      <c r="HAD3" s="272"/>
      <c r="HAE3" s="270"/>
      <c r="HAF3" s="272"/>
      <c r="HAG3" s="270"/>
      <c r="HAH3" s="272"/>
      <c r="HAI3" s="270"/>
      <c r="HAJ3" s="272"/>
      <c r="HAK3" s="270"/>
      <c r="HAL3" s="272"/>
      <c r="HAM3" s="270"/>
      <c r="HAN3" s="272"/>
      <c r="HAO3" s="270"/>
      <c r="HAP3" s="272"/>
      <c r="HAQ3" s="270"/>
      <c r="HAR3" s="272"/>
      <c r="HAS3" s="270"/>
      <c r="HAT3" s="272"/>
      <c r="HAU3" s="270"/>
      <c r="HAV3" s="272"/>
      <c r="HAW3" s="270"/>
      <c r="HAX3" s="272"/>
      <c r="HAY3" s="270"/>
      <c r="HAZ3" s="272"/>
      <c r="HBA3" s="270"/>
      <c r="HBB3" s="272"/>
      <c r="HBC3" s="270"/>
      <c r="HBD3" s="272"/>
      <c r="HBE3" s="270"/>
      <c r="HBF3" s="272"/>
      <c r="HBG3" s="270"/>
      <c r="HBH3" s="272"/>
      <c r="HBI3" s="270"/>
      <c r="HBJ3" s="272"/>
      <c r="HBK3" s="270"/>
      <c r="HBL3" s="272"/>
      <c r="HBM3" s="270"/>
      <c r="HBN3" s="272"/>
      <c r="HBO3" s="270"/>
      <c r="HBP3" s="272"/>
      <c r="HBQ3" s="270"/>
      <c r="HBR3" s="272"/>
      <c r="HBS3" s="270"/>
      <c r="HBT3" s="272"/>
      <c r="HBU3" s="270"/>
      <c r="HBV3" s="272"/>
      <c r="HBW3" s="270"/>
      <c r="HBX3" s="272"/>
      <c r="HBY3" s="270"/>
      <c r="HBZ3" s="272"/>
      <c r="HCA3" s="270"/>
      <c r="HCB3" s="272"/>
      <c r="HCC3" s="270"/>
      <c r="HCD3" s="272"/>
      <c r="HCE3" s="270"/>
      <c r="HCF3" s="272"/>
      <c r="HCG3" s="270"/>
      <c r="HCH3" s="272"/>
      <c r="HCI3" s="270"/>
      <c r="HCJ3" s="272"/>
      <c r="HCK3" s="270"/>
      <c r="HCL3" s="272"/>
      <c r="HCM3" s="270"/>
      <c r="HCN3" s="272"/>
      <c r="HCO3" s="270"/>
      <c r="HCP3" s="272"/>
      <c r="HCQ3" s="270"/>
      <c r="HCR3" s="272"/>
      <c r="HCS3" s="270"/>
      <c r="HCT3" s="272"/>
      <c r="HCU3" s="270"/>
      <c r="HCV3" s="272"/>
      <c r="HCW3" s="270"/>
      <c r="HCX3" s="272"/>
      <c r="HCY3" s="270"/>
      <c r="HCZ3" s="272"/>
      <c r="HDA3" s="270"/>
      <c r="HDB3" s="272"/>
      <c r="HDC3" s="270"/>
      <c r="HDD3" s="272"/>
      <c r="HDE3" s="270"/>
      <c r="HDF3" s="272"/>
      <c r="HDG3" s="270"/>
      <c r="HDH3" s="272"/>
      <c r="HDI3" s="270"/>
      <c r="HDJ3" s="272"/>
      <c r="HDK3" s="270"/>
      <c r="HDL3" s="272"/>
      <c r="HDM3" s="270"/>
      <c r="HDN3" s="272"/>
      <c r="HDO3" s="270"/>
      <c r="HDP3" s="272"/>
      <c r="HDQ3" s="270"/>
      <c r="HDR3" s="272"/>
      <c r="HDS3" s="270"/>
      <c r="HDT3" s="272"/>
      <c r="HDU3" s="270"/>
      <c r="HDV3" s="272"/>
      <c r="HDW3" s="270"/>
      <c r="HDX3" s="272"/>
      <c r="HDY3" s="270"/>
      <c r="HDZ3" s="272"/>
      <c r="HEA3" s="270"/>
      <c r="HEB3" s="272"/>
      <c r="HEC3" s="270"/>
      <c r="HED3" s="272"/>
      <c r="HEE3" s="270"/>
      <c r="HEF3" s="272"/>
      <c r="HEG3" s="270"/>
      <c r="HEH3" s="272"/>
      <c r="HEI3" s="270"/>
      <c r="HEJ3" s="272"/>
      <c r="HEK3" s="270"/>
      <c r="HEL3" s="272"/>
      <c r="HEM3" s="270"/>
      <c r="HEN3" s="272"/>
      <c r="HEO3" s="270"/>
      <c r="HEP3" s="272"/>
      <c r="HEQ3" s="270"/>
      <c r="HER3" s="272"/>
      <c r="HES3" s="270"/>
      <c r="HET3" s="272"/>
      <c r="HEU3" s="270"/>
      <c r="HEV3" s="272"/>
      <c r="HEW3" s="270"/>
      <c r="HEX3" s="272"/>
      <c r="HEY3" s="270"/>
      <c r="HEZ3" s="272"/>
      <c r="HFA3" s="270"/>
      <c r="HFB3" s="272"/>
      <c r="HFC3" s="270"/>
      <c r="HFD3" s="272"/>
      <c r="HFE3" s="270"/>
      <c r="HFF3" s="272"/>
      <c r="HFG3" s="270"/>
      <c r="HFH3" s="272"/>
      <c r="HFI3" s="270"/>
      <c r="HFJ3" s="272"/>
      <c r="HFK3" s="270"/>
      <c r="HFL3" s="272"/>
      <c r="HFM3" s="270"/>
      <c r="HFN3" s="272"/>
      <c r="HFO3" s="270"/>
      <c r="HFP3" s="272"/>
      <c r="HFQ3" s="270"/>
      <c r="HFR3" s="272"/>
      <c r="HFS3" s="270"/>
      <c r="HFT3" s="272"/>
      <c r="HFU3" s="270"/>
      <c r="HFV3" s="272"/>
      <c r="HFW3" s="270"/>
      <c r="HFX3" s="272"/>
      <c r="HFY3" s="270"/>
      <c r="HFZ3" s="272"/>
      <c r="HGA3" s="270"/>
      <c r="HGB3" s="272"/>
      <c r="HGC3" s="270"/>
      <c r="HGD3" s="272"/>
      <c r="HGE3" s="270"/>
      <c r="HGF3" s="272"/>
      <c r="HGG3" s="270"/>
      <c r="HGH3" s="272"/>
      <c r="HGI3" s="270"/>
      <c r="HGJ3" s="272"/>
      <c r="HGK3" s="270"/>
      <c r="HGL3" s="272"/>
      <c r="HGM3" s="270"/>
      <c r="HGN3" s="272"/>
      <c r="HGO3" s="270"/>
      <c r="HGP3" s="272"/>
      <c r="HGQ3" s="270"/>
      <c r="HGR3" s="272"/>
      <c r="HGS3" s="270"/>
      <c r="HGT3" s="272"/>
      <c r="HGU3" s="270"/>
      <c r="HGV3" s="272"/>
      <c r="HGW3" s="270"/>
      <c r="HGX3" s="272"/>
      <c r="HGY3" s="270"/>
      <c r="HGZ3" s="272"/>
      <c r="HHA3" s="270"/>
      <c r="HHB3" s="272"/>
      <c r="HHC3" s="270"/>
      <c r="HHD3" s="272"/>
      <c r="HHE3" s="270"/>
      <c r="HHF3" s="272"/>
      <c r="HHG3" s="270"/>
      <c r="HHH3" s="272"/>
      <c r="HHI3" s="270"/>
      <c r="HHJ3" s="272"/>
      <c r="HHK3" s="270"/>
      <c r="HHL3" s="272"/>
      <c r="HHM3" s="270"/>
      <c r="HHN3" s="272"/>
      <c r="HHO3" s="270"/>
      <c r="HHP3" s="272"/>
      <c r="HHQ3" s="270"/>
      <c r="HHR3" s="272"/>
      <c r="HHS3" s="270"/>
      <c r="HHT3" s="272"/>
      <c r="HHU3" s="270"/>
      <c r="HHV3" s="272"/>
      <c r="HHW3" s="270"/>
      <c r="HHX3" s="272"/>
      <c r="HHY3" s="270"/>
      <c r="HHZ3" s="272"/>
      <c r="HIA3" s="270"/>
      <c r="HIB3" s="272"/>
      <c r="HIC3" s="270"/>
      <c r="HID3" s="272"/>
      <c r="HIE3" s="270"/>
      <c r="HIF3" s="272"/>
      <c r="HIG3" s="270"/>
      <c r="HIH3" s="272"/>
      <c r="HII3" s="270"/>
      <c r="HIJ3" s="272"/>
      <c r="HIK3" s="270"/>
      <c r="HIL3" s="272"/>
      <c r="HIM3" s="270"/>
      <c r="HIN3" s="272"/>
      <c r="HIO3" s="270"/>
      <c r="HIP3" s="272"/>
      <c r="HIQ3" s="270"/>
      <c r="HIR3" s="272"/>
      <c r="HIS3" s="270"/>
      <c r="HIT3" s="272"/>
      <c r="HIU3" s="270"/>
      <c r="HIV3" s="272"/>
      <c r="HIW3" s="270"/>
      <c r="HIX3" s="272"/>
      <c r="HIY3" s="270"/>
      <c r="HIZ3" s="272"/>
      <c r="HJA3" s="270"/>
      <c r="HJB3" s="272"/>
      <c r="HJC3" s="270"/>
      <c r="HJD3" s="272"/>
      <c r="HJE3" s="270"/>
      <c r="HJF3" s="272"/>
      <c r="HJG3" s="270"/>
      <c r="HJH3" s="272"/>
      <c r="HJI3" s="270"/>
      <c r="HJJ3" s="272"/>
      <c r="HJK3" s="270"/>
      <c r="HJL3" s="272"/>
      <c r="HJM3" s="270"/>
      <c r="HJN3" s="272"/>
      <c r="HJO3" s="270"/>
      <c r="HJP3" s="272"/>
      <c r="HJQ3" s="270"/>
      <c r="HJR3" s="272"/>
      <c r="HJS3" s="270"/>
      <c r="HJT3" s="272"/>
      <c r="HJU3" s="270"/>
      <c r="HJV3" s="272"/>
      <c r="HJW3" s="270"/>
      <c r="HJX3" s="272"/>
      <c r="HJY3" s="270"/>
      <c r="HJZ3" s="272"/>
      <c r="HKA3" s="270"/>
      <c r="HKB3" s="272"/>
      <c r="HKC3" s="270"/>
      <c r="HKD3" s="272"/>
      <c r="HKE3" s="270"/>
      <c r="HKF3" s="272"/>
      <c r="HKG3" s="270"/>
      <c r="HKH3" s="272"/>
      <c r="HKI3" s="270"/>
      <c r="HKJ3" s="272"/>
      <c r="HKK3" s="270"/>
      <c r="HKL3" s="272"/>
      <c r="HKM3" s="270"/>
      <c r="HKN3" s="272"/>
      <c r="HKO3" s="270"/>
      <c r="HKP3" s="272"/>
      <c r="HKQ3" s="270"/>
      <c r="HKR3" s="272"/>
      <c r="HKS3" s="270"/>
      <c r="HKT3" s="272"/>
      <c r="HKU3" s="270"/>
      <c r="HKV3" s="272"/>
      <c r="HKW3" s="270"/>
      <c r="HKX3" s="272"/>
      <c r="HKY3" s="270"/>
      <c r="HKZ3" s="272"/>
      <c r="HLA3" s="270"/>
      <c r="HLB3" s="272"/>
      <c r="HLC3" s="270"/>
      <c r="HLD3" s="272"/>
      <c r="HLE3" s="270"/>
      <c r="HLF3" s="272"/>
      <c r="HLG3" s="270"/>
      <c r="HLH3" s="272"/>
      <c r="HLI3" s="270"/>
      <c r="HLJ3" s="272"/>
      <c r="HLK3" s="270"/>
      <c r="HLL3" s="272"/>
      <c r="HLM3" s="270"/>
      <c r="HLN3" s="272"/>
      <c r="HLO3" s="270"/>
      <c r="HLP3" s="272"/>
      <c r="HLQ3" s="270"/>
      <c r="HLR3" s="272"/>
      <c r="HLS3" s="270"/>
      <c r="HLT3" s="272"/>
      <c r="HLU3" s="270"/>
      <c r="HLV3" s="272"/>
      <c r="HLW3" s="270"/>
      <c r="HLX3" s="272"/>
      <c r="HLY3" s="270"/>
      <c r="HLZ3" s="272"/>
      <c r="HMA3" s="270"/>
      <c r="HMB3" s="272"/>
      <c r="HMC3" s="270"/>
      <c r="HMD3" s="272"/>
      <c r="HME3" s="270"/>
      <c r="HMF3" s="272"/>
      <c r="HMG3" s="270"/>
      <c r="HMH3" s="272"/>
      <c r="HMI3" s="270"/>
      <c r="HMJ3" s="272"/>
      <c r="HMK3" s="270"/>
      <c r="HML3" s="272"/>
      <c r="HMM3" s="270"/>
      <c r="HMN3" s="272"/>
      <c r="HMO3" s="270"/>
      <c r="HMP3" s="272"/>
      <c r="HMQ3" s="270"/>
      <c r="HMR3" s="272"/>
      <c r="HMS3" s="270"/>
      <c r="HMT3" s="272"/>
      <c r="HMU3" s="270"/>
      <c r="HMV3" s="272"/>
      <c r="HMW3" s="270"/>
      <c r="HMX3" s="272"/>
      <c r="HMY3" s="270"/>
      <c r="HMZ3" s="272"/>
      <c r="HNA3" s="270"/>
      <c r="HNB3" s="272"/>
      <c r="HNC3" s="270"/>
      <c r="HND3" s="272"/>
      <c r="HNE3" s="270"/>
      <c r="HNF3" s="272"/>
      <c r="HNG3" s="270"/>
      <c r="HNH3" s="272"/>
      <c r="HNI3" s="270"/>
      <c r="HNJ3" s="272"/>
      <c r="HNK3" s="270"/>
      <c r="HNL3" s="272"/>
      <c r="HNM3" s="270"/>
      <c r="HNN3" s="272"/>
      <c r="HNO3" s="270"/>
      <c r="HNP3" s="272"/>
      <c r="HNQ3" s="270"/>
      <c r="HNR3" s="272"/>
      <c r="HNS3" s="270"/>
      <c r="HNT3" s="272"/>
      <c r="HNU3" s="270"/>
      <c r="HNV3" s="272"/>
      <c r="HNW3" s="270"/>
      <c r="HNX3" s="272"/>
      <c r="HNY3" s="270"/>
      <c r="HNZ3" s="272"/>
      <c r="HOA3" s="270"/>
      <c r="HOB3" s="272"/>
      <c r="HOC3" s="270"/>
      <c r="HOD3" s="272"/>
      <c r="HOE3" s="270"/>
      <c r="HOF3" s="272"/>
      <c r="HOG3" s="270"/>
      <c r="HOH3" s="272"/>
      <c r="HOI3" s="270"/>
      <c r="HOJ3" s="272"/>
      <c r="HOK3" s="270"/>
      <c r="HOL3" s="272"/>
      <c r="HOM3" s="270"/>
      <c r="HON3" s="272"/>
      <c r="HOO3" s="270"/>
      <c r="HOP3" s="272"/>
      <c r="HOQ3" s="270"/>
      <c r="HOR3" s="272"/>
      <c r="HOS3" s="270"/>
      <c r="HOT3" s="272"/>
      <c r="HOU3" s="270"/>
      <c r="HOV3" s="272"/>
      <c r="HOW3" s="270"/>
      <c r="HOX3" s="272"/>
      <c r="HOY3" s="270"/>
      <c r="HOZ3" s="272"/>
      <c r="HPA3" s="270"/>
      <c r="HPB3" s="272"/>
      <c r="HPC3" s="270"/>
      <c r="HPD3" s="272"/>
      <c r="HPE3" s="270"/>
      <c r="HPF3" s="272"/>
      <c r="HPG3" s="270"/>
      <c r="HPH3" s="272"/>
      <c r="HPI3" s="270"/>
      <c r="HPJ3" s="272"/>
      <c r="HPK3" s="270"/>
      <c r="HPL3" s="272"/>
      <c r="HPM3" s="270"/>
      <c r="HPN3" s="272"/>
      <c r="HPO3" s="270"/>
      <c r="HPP3" s="272"/>
      <c r="HPQ3" s="270"/>
      <c r="HPR3" s="272"/>
      <c r="HPS3" s="270"/>
      <c r="HPT3" s="272"/>
      <c r="HPU3" s="270"/>
      <c r="HPV3" s="272"/>
      <c r="HPW3" s="270"/>
      <c r="HPX3" s="272"/>
      <c r="HPY3" s="270"/>
      <c r="HPZ3" s="272"/>
      <c r="HQA3" s="270"/>
      <c r="HQB3" s="272"/>
      <c r="HQC3" s="270"/>
      <c r="HQD3" s="272"/>
      <c r="HQE3" s="270"/>
      <c r="HQF3" s="272"/>
      <c r="HQG3" s="270"/>
      <c r="HQH3" s="272"/>
      <c r="HQI3" s="270"/>
      <c r="HQJ3" s="272"/>
      <c r="HQK3" s="270"/>
      <c r="HQL3" s="272"/>
      <c r="HQM3" s="270"/>
      <c r="HQN3" s="272"/>
      <c r="HQO3" s="270"/>
      <c r="HQP3" s="272"/>
      <c r="HQQ3" s="270"/>
      <c r="HQR3" s="272"/>
      <c r="HQS3" s="270"/>
      <c r="HQT3" s="272"/>
      <c r="HQU3" s="270"/>
      <c r="HQV3" s="272"/>
      <c r="HQW3" s="270"/>
      <c r="HQX3" s="272"/>
      <c r="HQY3" s="270"/>
      <c r="HQZ3" s="272"/>
      <c r="HRA3" s="270"/>
      <c r="HRB3" s="272"/>
      <c r="HRC3" s="270"/>
      <c r="HRD3" s="272"/>
      <c r="HRE3" s="270"/>
      <c r="HRF3" s="272"/>
      <c r="HRG3" s="270"/>
      <c r="HRH3" s="272"/>
      <c r="HRI3" s="270"/>
      <c r="HRJ3" s="272"/>
      <c r="HRK3" s="270"/>
      <c r="HRL3" s="272"/>
      <c r="HRM3" s="270"/>
      <c r="HRN3" s="272"/>
      <c r="HRO3" s="270"/>
      <c r="HRP3" s="272"/>
      <c r="HRQ3" s="270"/>
      <c r="HRR3" s="272"/>
      <c r="HRS3" s="270"/>
      <c r="HRT3" s="272"/>
      <c r="HRU3" s="270"/>
      <c r="HRV3" s="272"/>
      <c r="HRW3" s="270"/>
      <c r="HRX3" s="272"/>
      <c r="HRY3" s="270"/>
      <c r="HRZ3" s="272"/>
      <c r="HSA3" s="270"/>
      <c r="HSB3" s="272"/>
      <c r="HSC3" s="270"/>
      <c r="HSD3" s="272"/>
      <c r="HSE3" s="270"/>
      <c r="HSF3" s="272"/>
      <c r="HSG3" s="270"/>
      <c r="HSH3" s="272"/>
      <c r="HSI3" s="270"/>
      <c r="HSJ3" s="272"/>
      <c r="HSK3" s="270"/>
      <c r="HSL3" s="272"/>
      <c r="HSM3" s="270"/>
      <c r="HSN3" s="272"/>
      <c r="HSO3" s="270"/>
      <c r="HSP3" s="272"/>
      <c r="HSQ3" s="270"/>
      <c r="HSR3" s="272"/>
      <c r="HSS3" s="270"/>
      <c r="HST3" s="272"/>
      <c r="HSU3" s="270"/>
      <c r="HSV3" s="272"/>
      <c r="HSW3" s="270"/>
      <c r="HSX3" s="272"/>
      <c r="HSY3" s="270"/>
      <c r="HSZ3" s="272"/>
      <c r="HTA3" s="270"/>
      <c r="HTB3" s="272"/>
      <c r="HTC3" s="270"/>
      <c r="HTD3" s="272"/>
      <c r="HTE3" s="270"/>
      <c r="HTF3" s="272"/>
      <c r="HTG3" s="270"/>
      <c r="HTH3" s="272"/>
      <c r="HTI3" s="270"/>
      <c r="HTJ3" s="272"/>
      <c r="HTK3" s="270"/>
      <c r="HTL3" s="272"/>
      <c r="HTM3" s="270"/>
      <c r="HTN3" s="272"/>
      <c r="HTO3" s="270"/>
      <c r="HTP3" s="272"/>
      <c r="HTQ3" s="270"/>
      <c r="HTR3" s="272"/>
      <c r="HTS3" s="270"/>
      <c r="HTT3" s="272"/>
      <c r="HTU3" s="270"/>
      <c r="HTV3" s="272"/>
      <c r="HTW3" s="270"/>
      <c r="HTX3" s="272"/>
      <c r="HTY3" s="270"/>
      <c r="HTZ3" s="272"/>
      <c r="HUA3" s="270"/>
      <c r="HUB3" s="272"/>
      <c r="HUC3" s="270"/>
      <c r="HUD3" s="272"/>
      <c r="HUE3" s="270"/>
      <c r="HUF3" s="272"/>
      <c r="HUG3" s="270"/>
      <c r="HUH3" s="272"/>
      <c r="HUI3" s="270"/>
      <c r="HUJ3" s="272"/>
      <c r="HUK3" s="270"/>
      <c r="HUL3" s="272"/>
      <c r="HUM3" s="270"/>
      <c r="HUN3" s="272"/>
      <c r="HUO3" s="270"/>
      <c r="HUP3" s="272"/>
      <c r="HUQ3" s="270"/>
      <c r="HUR3" s="272"/>
      <c r="HUS3" s="270"/>
      <c r="HUT3" s="272"/>
      <c r="HUU3" s="270"/>
      <c r="HUV3" s="272"/>
      <c r="HUW3" s="270"/>
      <c r="HUX3" s="272"/>
      <c r="HUY3" s="270"/>
      <c r="HUZ3" s="272"/>
      <c r="HVA3" s="270"/>
      <c r="HVB3" s="272"/>
      <c r="HVC3" s="270"/>
      <c r="HVD3" s="272"/>
      <c r="HVE3" s="270"/>
      <c r="HVF3" s="272"/>
      <c r="HVG3" s="270"/>
      <c r="HVH3" s="272"/>
      <c r="HVI3" s="270"/>
      <c r="HVJ3" s="272"/>
      <c r="HVK3" s="270"/>
      <c r="HVL3" s="272"/>
      <c r="HVM3" s="270"/>
      <c r="HVN3" s="272"/>
      <c r="HVO3" s="270"/>
      <c r="HVP3" s="272"/>
      <c r="HVQ3" s="270"/>
      <c r="HVR3" s="272"/>
      <c r="HVS3" s="270"/>
      <c r="HVT3" s="272"/>
      <c r="HVU3" s="270"/>
      <c r="HVV3" s="272"/>
      <c r="HVW3" s="270"/>
      <c r="HVX3" s="272"/>
      <c r="HVY3" s="270"/>
      <c r="HVZ3" s="272"/>
      <c r="HWA3" s="270"/>
      <c r="HWB3" s="272"/>
      <c r="HWC3" s="270"/>
      <c r="HWD3" s="272"/>
      <c r="HWE3" s="270"/>
      <c r="HWF3" s="272"/>
      <c r="HWG3" s="270"/>
      <c r="HWH3" s="272"/>
      <c r="HWI3" s="270"/>
      <c r="HWJ3" s="272"/>
      <c r="HWK3" s="270"/>
      <c r="HWL3" s="272"/>
      <c r="HWM3" s="270"/>
      <c r="HWN3" s="272"/>
      <c r="HWO3" s="270"/>
      <c r="HWP3" s="272"/>
      <c r="HWQ3" s="270"/>
      <c r="HWR3" s="272"/>
      <c r="HWS3" s="270"/>
      <c r="HWT3" s="272"/>
      <c r="HWU3" s="270"/>
      <c r="HWV3" s="272"/>
      <c r="HWW3" s="270"/>
      <c r="HWX3" s="272"/>
      <c r="HWY3" s="270"/>
      <c r="HWZ3" s="272"/>
      <c r="HXA3" s="270"/>
      <c r="HXB3" s="272"/>
      <c r="HXC3" s="270"/>
      <c r="HXD3" s="272"/>
      <c r="HXE3" s="270"/>
      <c r="HXF3" s="272"/>
      <c r="HXG3" s="270"/>
      <c r="HXH3" s="272"/>
      <c r="HXI3" s="270"/>
      <c r="HXJ3" s="272"/>
      <c r="HXK3" s="270"/>
      <c r="HXL3" s="272"/>
      <c r="HXM3" s="270"/>
      <c r="HXN3" s="272"/>
      <c r="HXO3" s="270"/>
      <c r="HXP3" s="272"/>
      <c r="HXQ3" s="270"/>
      <c r="HXR3" s="272"/>
      <c r="HXS3" s="270"/>
      <c r="HXT3" s="272"/>
      <c r="HXU3" s="270"/>
      <c r="HXV3" s="272"/>
      <c r="HXW3" s="270"/>
      <c r="HXX3" s="272"/>
      <c r="HXY3" s="270"/>
      <c r="HXZ3" s="272"/>
      <c r="HYA3" s="270"/>
      <c r="HYB3" s="272"/>
      <c r="HYC3" s="270"/>
      <c r="HYD3" s="272"/>
      <c r="HYE3" s="270"/>
      <c r="HYF3" s="272"/>
      <c r="HYG3" s="270"/>
      <c r="HYH3" s="272"/>
      <c r="HYI3" s="270"/>
      <c r="HYJ3" s="272"/>
      <c r="HYK3" s="270"/>
      <c r="HYL3" s="272"/>
      <c r="HYM3" s="270"/>
      <c r="HYN3" s="272"/>
      <c r="HYO3" s="270"/>
      <c r="HYP3" s="272"/>
      <c r="HYQ3" s="270"/>
      <c r="HYR3" s="272"/>
      <c r="HYS3" s="270"/>
      <c r="HYT3" s="272"/>
      <c r="HYU3" s="270"/>
      <c r="HYV3" s="272"/>
      <c r="HYW3" s="270"/>
      <c r="HYX3" s="272"/>
      <c r="HYY3" s="270"/>
      <c r="HYZ3" s="272"/>
      <c r="HZA3" s="270"/>
      <c r="HZB3" s="272"/>
      <c r="HZC3" s="270"/>
      <c r="HZD3" s="272"/>
      <c r="HZE3" s="270"/>
      <c r="HZF3" s="272"/>
      <c r="HZG3" s="270"/>
      <c r="HZH3" s="272"/>
      <c r="HZI3" s="270"/>
      <c r="HZJ3" s="272"/>
      <c r="HZK3" s="270"/>
      <c r="HZL3" s="272"/>
      <c r="HZM3" s="270"/>
      <c r="HZN3" s="272"/>
      <c r="HZO3" s="270"/>
      <c r="HZP3" s="272"/>
      <c r="HZQ3" s="270"/>
      <c r="HZR3" s="272"/>
      <c r="HZS3" s="270"/>
      <c r="HZT3" s="272"/>
      <c r="HZU3" s="270"/>
      <c r="HZV3" s="272"/>
      <c r="HZW3" s="270"/>
      <c r="HZX3" s="272"/>
      <c r="HZY3" s="270"/>
      <c r="HZZ3" s="272"/>
      <c r="IAA3" s="270"/>
      <c r="IAB3" s="272"/>
      <c r="IAC3" s="270"/>
      <c r="IAD3" s="272"/>
      <c r="IAE3" s="270"/>
      <c r="IAF3" s="272"/>
      <c r="IAG3" s="270"/>
      <c r="IAH3" s="272"/>
      <c r="IAI3" s="270"/>
      <c r="IAJ3" s="272"/>
      <c r="IAK3" s="270"/>
      <c r="IAL3" s="272"/>
      <c r="IAM3" s="270"/>
      <c r="IAN3" s="272"/>
      <c r="IAO3" s="270"/>
      <c r="IAP3" s="272"/>
      <c r="IAQ3" s="270"/>
      <c r="IAR3" s="272"/>
      <c r="IAS3" s="270"/>
      <c r="IAT3" s="272"/>
      <c r="IAU3" s="270"/>
      <c r="IAV3" s="272"/>
      <c r="IAW3" s="270"/>
      <c r="IAX3" s="272"/>
      <c r="IAY3" s="270"/>
      <c r="IAZ3" s="272"/>
      <c r="IBA3" s="270"/>
      <c r="IBB3" s="272"/>
      <c r="IBC3" s="270"/>
      <c r="IBD3" s="272"/>
      <c r="IBE3" s="270"/>
      <c r="IBF3" s="272"/>
      <c r="IBG3" s="270"/>
      <c r="IBH3" s="272"/>
      <c r="IBI3" s="270"/>
      <c r="IBJ3" s="272"/>
      <c r="IBK3" s="270"/>
      <c r="IBL3" s="272"/>
      <c r="IBM3" s="270"/>
      <c r="IBN3" s="272"/>
      <c r="IBO3" s="270"/>
      <c r="IBP3" s="272"/>
      <c r="IBQ3" s="270"/>
      <c r="IBR3" s="272"/>
      <c r="IBS3" s="270"/>
      <c r="IBT3" s="272"/>
      <c r="IBU3" s="270"/>
      <c r="IBV3" s="272"/>
      <c r="IBW3" s="270"/>
      <c r="IBX3" s="272"/>
      <c r="IBY3" s="270"/>
      <c r="IBZ3" s="272"/>
      <c r="ICA3" s="270"/>
      <c r="ICB3" s="272"/>
      <c r="ICC3" s="270"/>
      <c r="ICD3" s="272"/>
      <c r="ICE3" s="270"/>
      <c r="ICF3" s="272"/>
      <c r="ICG3" s="270"/>
      <c r="ICH3" s="272"/>
      <c r="ICI3" s="270"/>
      <c r="ICJ3" s="272"/>
      <c r="ICK3" s="270"/>
      <c r="ICL3" s="272"/>
      <c r="ICM3" s="270"/>
      <c r="ICN3" s="272"/>
      <c r="ICO3" s="270"/>
      <c r="ICP3" s="272"/>
      <c r="ICQ3" s="270"/>
      <c r="ICR3" s="272"/>
      <c r="ICS3" s="270"/>
      <c r="ICT3" s="272"/>
      <c r="ICU3" s="270"/>
      <c r="ICV3" s="272"/>
      <c r="ICW3" s="270"/>
      <c r="ICX3" s="272"/>
      <c r="ICY3" s="270"/>
      <c r="ICZ3" s="272"/>
      <c r="IDA3" s="270"/>
      <c r="IDB3" s="272"/>
      <c r="IDC3" s="270"/>
      <c r="IDD3" s="272"/>
      <c r="IDE3" s="270"/>
      <c r="IDF3" s="272"/>
      <c r="IDG3" s="270"/>
      <c r="IDH3" s="272"/>
      <c r="IDI3" s="270"/>
      <c r="IDJ3" s="272"/>
      <c r="IDK3" s="270"/>
      <c r="IDL3" s="272"/>
      <c r="IDM3" s="270"/>
      <c r="IDN3" s="272"/>
      <c r="IDO3" s="270"/>
      <c r="IDP3" s="272"/>
      <c r="IDQ3" s="270"/>
      <c r="IDR3" s="272"/>
      <c r="IDS3" s="270"/>
      <c r="IDT3" s="272"/>
      <c r="IDU3" s="270"/>
      <c r="IDV3" s="272"/>
      <c r="IDW3" s="270"/>
      <c r="IDX3" s="272"/>
      <c r="IDY3" s="270"/>
      <c r="IDZ3" s="272"/>
      <c r="IEA3" s="270"/>
      <c r="IEB3" s="272"/>
      <c r="IEC3" s="270"/>
      <c r="IED3" s="272"/>
      <c r="IEE3" s="270"/>
      <c r="IEF3" s="272"/>
      <c r="IEG3" s="270"/>
      <c r="IEH3" s="272"/>
      <c r="IEI3" s="270"/>
      <c r="IEJ3" s="272"/>
      <c r="IEK3" s="270"/>
      <c r="IEL3" s="272"/>
      <c r="IEM3" s="270"/>
      <c r="IEN3" s="272"/>
      <c r="IEO3" s="270"/>
      <c r="IEP3" s="272"/>
      <c r="IEQ3" s="270"/>
      <c r="IER3" s="272"/>
      <c r="IES3" s="270"/>
      <c r="IET3" s="272"/>
      <c r="IEU3" s="270"/>
      <c r="IEV3" s="272"/>
      <c r="IEW3" s="270"/>
      <c r="IEX3" s="272"/>
      <c r="IEY3" s="270"/>
      <c r="IEZ3" s="272"/>
      <c r="IFA3" s="270"/>
      <c r="IFB3" s="272"/>
      <c r="IFC3" s="270"/>
      <c r="IFD3" s="272"/>
      <c r="IFE3" s="270"/>
      <c r="IFF3" s="272"/>
      <c r="IFG3" s="270"/>
      <c r="IFH3" s="272"/>
      <c r="IFI3" s="270"/>
      <c r="IFJ3" s="272"/>
      <c r="IFK3" s="270"/>
      <c r="IFL3" s="272"/>
      <c r="IFM3" s="270"/>
      <c r="IFN3" s="272"/>
      <c r="IFO3" s="270"/>
      <c r="IFP3" s="272"/>
      <c r="IFQ3" s="270"/>
      <c r="IFR3" s="272"/>
      <c r="IFS3" s="270"/>
      <c r="IFT3" s="272"/>
      <c r="IFU3" s="270"/>
      <c r="IFV3" s="272"/>
      <c r="IFW3" s="270"/>
      <c r="IFX3" s="272"/>
      <c r="IFY3" s="270"/>
      <c r="IFZ3" s="272"/>
      <c r="IGA3" s="270"/>
      <c r="IGB3" s="272"/>
      <c r="IGC3" s="270"/>
      <c r="IGD3" s="272"/>
      <c r="IGE3" s="270"/>
      <c r="IGF3" s="272"/>
      <c r="IGG3" s="270"/>
      <c r="IGH3" s="272"/>
      <c r="IGI3" s="270"/>
      <c r="IGJ3" s="272"/>
      <c r="IGK3" s="270"/>
      <c r="IGL3" s="272"/>
      <c r="IGM3" s="270"/>
      <c r="IGN3" s="272"/>
      <c r="IGO3" s="270"/>
      <c r="IGP3" s="272"/>
      <c r="IGQ3" s="270"/>
      <c r="IGR3" s="272"/>
      <c r="IGS3" s="270"/>
      <c r="IGT3" s="272"/>
      <c r="IGU3" s="270"/>
      <c r="IGV3" s="272"/>
      <c r="IGW3" s="270"/>
      <c r="IGX3" s="272"/>
      <c r="IGY3" s="270"/>
      <c r="IGZ3" s="272"/>
      <c r="IHA3" s="270"/>
      <c r="IHB3" s="272"/>
      <c r="IHC3" s="270"/>
      <c r="IHD3" s="272"/>
      <c r="IHE3" s="270"/>
      <c r="IHF3" s="272"/>
      <c r="IHG3" s="270"/>
      <c r="IHH3" s="272"/>
      <c r="IHI3" s="270"/>
      <c r="IHJ3" s="272"/>
      <c r="IHK3" s="270"/>
      <c r="IHL3" s="272"/>
      <c r="IHM3" s="270"/>
      <c r="IHN3" s="272"/>
      <c r="IHO3" s="270"/>
      <c r="IHP3" s="272"/>
      <c r="IHQ3" s="270"/>
      <c r="IHR3" s="272"/>
      <c r="IHS3" s="270"/>
      <c r="IHT3" s="272"/>
      <c r="IHU3" s="270"/>
      <c r="IHV3" s="272"/>
      <c r="IHW3" s="270"/>
      <c r="IHX3" s="272"/>
      <c r="IHY3" s="270"/>
      <c r="IHZ3" s="272"/>
      <c r="IIA3" s="270"/>
      <c r="IIB3" s="272"/>
      <c r="IIC3" s="270"/>
      <c r="IID3" s="272"/>
      <c r="IIE3" s="270"/>
      <c r="IIF3" s="272"/>
      <c r="IIG3" s="270"/>
      <c r="IIH3" s="272"/>
      <c r="III3" s="270"/>
      <c r="IIJ3" s="272"/>
      <c r="IIK3" s="270"/>
      <c r="IIL3" s="272"/>
      <c r="IIM3" s="270"/>
      <c r="IIN3" s="272"/>
      <c r="IIO3" s="270"/>
      <c r="IIP3" s="272"/>
      <c r="IIQ3" s="270"/>
      <c r="IIR3" s="272"/>
      <c r="IIS3" s="270"/>
      <c r="IIT3" s="272"/>
      <c r="IIU3" s="270"/>
      <c r="IIV3" s="272"/>
      <c r="IIW3" s="270"/>
      <c r="IIX3" s="272"/>
      <c r="IIY3" s="270"/>
      <c r="IIZ3" s="272"/>
      <c r="IJA3" s="270"/>
      <c r="IJB3" s="272"/>
      <c r="IJC3" s="270"/>
      <c r="IJD3" s="272"/>
      <c r="IJE3" s="270"/>
      <c r="IJF3" s="272"/>
      <c r="IJG3" s="270"/>
      <c r="IJH3" s="272"/>
      <c r="IJI3" s="270"/>
      <c r="IJJ3" s="272"/>
      <c r="IJK3" s="270"/>
      <c r="IJL3" s="272"/>
      <c r="IJM3" s="270"/>
      <c r="IJN3" s="272"/>
      <c r="IJO3" s="270"/>
      <c r="IJP3" s="272"/>
      <c r="IJQ3" s="270"/>
      <c r="IJR3" s="272"/>
      <c r="IJS3" s="270"/>
      <c r="IJT3" s="272"/>
      <c r="IJU3" s="270"/>
      <c r="IJV3" s="272"/>
      <c r="IJW3" s="270"/>
      <c r="IJX3" s="272"/>
      <c r="IJY3" s="270"/>
      <c r="IJZ3" s="272"/>
      <c r="IKA3" s="270"/>
      <c r="IKB3" s="272"/>
      <c r="IKC3" s="270"/>
      <c r="IKD3" s="272"/>
      <c r="IKE3" s="270"/>
      <c r="IKF3" s="272"/>
      <c r="IKG3" s="270"/>
      <c r="IKH3" s="272"/>
      <c r="IKI3" s="270"/>
      <c r="IKJ3" s="272"/>
      <c r="IKK3" s="270"/>
      <c r="IKL3" s="272"/>
      <c r="IKM3" s="270"/>
      <c r="IKN3" s="272"/>
      <c r="IKO3" s="270"/>
      <c r="IKP3" s="272"/>
      <c r="IKQ3" s="270"/>
      <c r="IKR3" s="272"/>
      <c r="IKS3" s="270"/>
      <c r="IKT3" s="272"/>
      <c r="IKU3" s="270"/>
      <c r="IKV3" s="272"/>
      <c r="IKW3" s="270"/>
      <c r="IKX3" s="272"/>
      <c r="IKY3" s="270"/>
      <c r="IKZ3" s="272"/>
      <c r="ILA3" s="270"/>
      <c r="ILB3" s="272"/>
      <c r="ILC3" s="270"/>
      <c r="ILD3" s="272"/>
      <c r="ILE3" s="270"/>
      <c r="ILF3" s="272"/>
      <c r="ILG3" s="270"/>
      <c r="ILH3" s="272"/>
      <c r="ILI3" s="270"/>
      <c r="ILJ3" s="272"/>
      <c r="ILK3" s="270"/>
      <c r="ILL3" s="272"/>
      <c r="ILM3" s="270"/>
      <c r="ILN3" s="272"/>
      <c r="ILO3" s="270"/>
      <c r="ILP3" s="272"/>
      <c r="ILQ3" s="270"/>
      <c r="ILR3" s="272"/>
      <c r="ILS3" s="270"/>
      <c r="ILT3" s="272"/>
      <c r="ILU3" s="270"/>
      <c r="ILV3" s="272"/>
      <c r="ILW3" s="270"/>
      <c r="ILX3" s="272"/>
      <c r="ILY3" s="270"/>
      <c r="ILZ3" s="272"/>
      <c r="IMA3" s="270"/>
      <c r="IMB3" s="272"/>
      <c r="IMC3" s="270"/>
      <c r="IMD3" s="272"/>
      <c r="IME3" s="270"/>
      <c r="IMF3" s="272"/>
      <c r="IMG3" s="270"/>
      <c r="IMH3" s="272"/>
      <c r="IMI3" s="270"/>
      <c r="IMJ3" s="272"/>
      <c r="IMK3" s="270"/>
      <c r="IML3" s="272"/>
      <c r="IMM3" s="270"/>
      <c r="IMN3" s="272"/>
      <c r="IMO3" s="270"/>
      <c r="IMP3" s="272"/>
      <c r="IMQ3" s="270"/>
      <c r="IMR3" s="272"/>
      <c r="IMS3" s="270"/>
      <c r="IMT3" s="272"/>
      <c r="IMU3" s="270"/>
      <c r="IMV3" s="272"/>
      <c r="IMW3" s="270"/>
      <c r="IMX3" s="272"/>
      <c r="IMY3" s="270"/>
      <c r="IMZ3" s="272"/>
      <c r="INA3" s="270"/>
      <c r="INB3" s="272"/>
      <c r="INC3" s="270"/>
      <c r="IND3" s="272"/>
      <c r="INE3" s="270"/>
      <c r="INF3" s="272"/>
      <c r="ING3" s="270"/>
      <c r="INH3" s="272"/>
      <c r="INI3" s="270"/>
      <c r="INJ3" s="272"/>
      <c r="INK3" s="270"/>
      <c r="INL3" s="272"/>
      <c r="INM3" s="270"/>
      <c r="INN3" s="272"/>
      <c r="INO3" s="270"/>
      <c r="INP3" s="272"/>
      <c r="INQ3" s="270"/>
      <c r="INR3" s="272"/>
      <c r="INS3" s="270"/>
      <c r="INT3" s="272"/>
      <c r="INU3" s="270"/>
      <c r="INV3" s="272"/>
      <c r="INW3" s="270"/>
      <c r="INX3" s="272"/>
      <c r="INY3" s="270"/>
      <c r="INZ3" s="272"/>
      <c r="IOA3" s="270"/>
      <c r="IOB3" s="272"/>
      <c r="IOC3" s="270"/>
      <c r="IOD3" s="272"/>
      <c r="IOE3" s="270"/>
      <c r="IOF3" s="272"/>
      <c r="IOG3" s="270"/>
      <c r="IOH3" s="272"/>
      <c r="IOI3" s="270"/>
      <c r="IOJ3" s="272"/>
      <c r="IOK3" s="270"/>
      <c r="IOL3" s="272"/>
      <c r="IOM3" s="270"/>
      <c r="ION3" s="272"/>
      <c r="IOO3" s="270"/>
      <c r="IOP3" s="272"/>
      <c r="IOQ3" s="270"/>
      <c r="IOR3" s="272"/>
      <c r="IOS3" s="270"/>
      <c r="IOT3" s="272"/>
      <c r="IOU3" s="270"/>
      <c r="IOV3" s="272"/>
      <c r="IOW3" s="270"/>
      <c r="IOX3" s="272"/>
      <c r="IOY3" s="270"/>
      <c r="IOZ3" s="272"/>
      <c r="IPA3" s="270"/>
      <c r="IPB3" s="272"/>
      <c r="IPC3" s="270"/>
      <c r="IPD3" s="272"/>
      <c r="IPE3" s="270"/>
      <c r="IPF3" s="272"/>
      <c r="IPG3" s="270"/>
      <c r="IPH3" s="272"/>
      <c r="IPI3" s="270"/>
      <c r="IPJ3" s="272"/>
      <c r="IPK3" s="270"/>
      <c r="IPL3" s="272"/>
      <c r="IPM3" s="270"/>
      <c r="IPN3" s="272"/>
      <c r="IPO3" s="270"/>
      <c r="IPP3" s="272"/>
      <c r="IPQ3" s="270"/>
      <c r="IPR3" s="272"/>
      <c r="IPS3" s="270"/>
      <c r="IPT3" s="272"/>
      <c r="IPU3" s="270"/>
      <c r="IPV3" s="272"/>
      <c r="IPW3" s="270"/>
      <c r="IPX3" s="272"/>
      <c r="IPY3" s="270"/>
      <c r="IPZ3" s="272"/>
      <c r="IQA3" s="270"/>
      <c r="IQB3" s="272"/>
      <c r="IQC3" s="270"/>
      <c r="IQD3" s="272"/>
      <c r="IQE3" s="270"/>
      <c r="IQF3" s="272"/>
      <c r="IQG3" s="270"/>
      <c r="IQH3" s="272"/>
      <c r="IQI3" s="270"/>
      <c r="IQJ3" s="272"/>
      <c r="IQK3" s="270"/>
      <c r="IQL3" s="272"/>
      <c r="IQM3" s="270"/>
      <c r="IQN3" s="272"/>
      <c r="IQO3" s="270"/>
      <c r="IQP3" s="272"/>
      <c r="IQQ3" s="270"/>
      <c r="IQR3" s="272"/>
      <c r="IQS3" s="270"/>
      <c r="IQT3" s="272"/>
      <c r="IQU3" s="270"/>
      <c r="IQV3" s="272"/>
      <c r="IQW3" s="270"/>
      <c r="IQX3" s="272"/>
      <c r="IQY3" s="270"/>
      <c r="IQZ3" s="272"/>
      <c r="IRA3" s="270"/>
      <c r="IRB3" s="272"/>
      <c r="IRC3" s="270"/>
      <c r="IRD3" s="272"/>
      <c r="IRE3" s="270"/>
      <c r="IRF3" s="272"/>
      <c r="IRG3" s="270"/>
      <c r="IRH3" s="272"/>
      <c r="IRI3" s="270"/>
      <c r="IRJ3" s="272"/>
      <c r="IRK3" s="270"/>
      <c r="IRL3" s="272"/>
      <c r="IRM3" s="270"/>
      <c r="IRN3" s="272"/>
      <c r="IRO3" s="270"/>
      <c r="IRP3" s="272"/>
      <c r="IRQ3" s="270"/>
      <c r="IRR3" s="272"/>
      <c r="IRS3" s="270"/>
      <c r="IRT3" s="272"/>
      <c r="IRU3" s="270"/>
      <c r="IRV3" s="272"/>
      <c r="IRW3" s="270"/>
      <c r="IRX3" s="272"/>
      <c r="IRY3" s="270"/>
      <c r="IRZ3" s="272"/>
      <c r="ISA3" s="270"/>
      <c r="ISB3" s="272"/>
      <c r="ISC3" s="270"/>
      <c r="ISD3" s="272"/>
      <c r="ISE3" s="270"/>
      <c r="ISF3" s="272"/>
      <c r="ISG3" s="270"/>
      <c r="ISH3" s="272"/>
      <c r="ISI3" s="270"/>
      <c r="ISJ3" s="272"/>
      <c r="ISK3" s="270"/>
      <c r="ISL3" s="272"/>
      <c r="ISM3" s="270"/>
      <c r="ISN3" s="272"/>
      <c r="ISO3" s="270"/>
      <c r="ISP3" s="272"/>
      <c r="ISQ3" s="270"/>
      <c r="ISR3" s="272"/>
      <c r="ISS3" s="270"/>
      <c r="IST3" s="272"/>
      <c r="ISU3" s="270"/>
      <c r="ISV3" s="272"/>
      <c r="ISW3" s="270"/>
      <c r="ISX3" s="272"/>
      <c r="ISY3" s="270"/>
      <c r="ISZ3" s="272"/>
      <c r="ITA3" s="270"/>
      <c r="ITB3" s="272"/>
      <c r="ITC3" s="270"/>
      <c r="ITD3" s="272"/>
      <c r="ITE3" s="270"/>
      <c r="ITF3" s="272"/>
      <c r="ITG3" s="270"/>
      <c r="ITH3" s="272"/>
      <c r="ITI3" s="270"/>
      <c r="ITJ3" s="272"/>
      <c r="ITK3" s="270"/>
      <c r="ITL3" s="272"/>
      <c r="ITM3" s="270"/>
      <c r="ITN3" s="272"/>
      <c r="ITO3" s="270"/>
      <c r="ITP3" s="272"/>
      <c r="ITQ3" s="270"/>
      <c r="ITR3" s="272"/>
      <c r="ITS3" s="270"/>
      <c r="ITT3" s="272"/>
      <c r="ITU3" s="270"/>
      <c r="ITV3" s="272"/>
      <c r="ITW3" s="270"/>
      <c r="ITX3" s="272"/>
      <c r="ITY3" s="270"/>
      <c r="ITZ3" s="272"/>
      <c r="IUA3" s="270"/>
      <c r="IUB3" s="272"/>
      <c r="IUC3" s="270"/>
      <c r="IUD3" s="272"/>
      <c r="IUE3" s="270"/>
      <c r="IUF3" s="272"/>
      <c r="IUG3" s="270"/>
      <c r="IUH3" s="272"/>
      <c r="IUI3" s="270"/>
      <c r="IUJ3" s="272"/>
      <c r="IUK3" s="270"/>
      <c r="IUL3" s="272"/>
      <c r="IUM3" s="270"/>
      <c r="IUN3" s="272"/>
      <c r="IUO3" s="270"/>
      <c r="IUP3" s="272"/>
      <c r="IUQ3" s="270"/>
      <c r="IUR3" s="272"/>
      <c r="IUS3" s="270"/>
      <c r="IUT3" s="272"/>
      <c r="IUU3" s="270"/>
      <c r="IUV3" s="272"/>
      <c r="IUW3" s="270"/>
      <c r="IUX3" s="272"/>
      <c r="IUY3" s="270"/>
      <c r="IUZ3" s="272"/>
      <c r="IVA3" s="270"/>
      <c r="IVB3" s="272"/>
      <c r="IVC3" s="270"/>
      <c r="IVD3" s="272"/>
      <c r="IVE3" s="270"/>
      <c r="IVF3" s="272"/>
      <c r="IVG3" s="270"/>
      <c r="IVH3" s="272"/>
      <c r="IVI3" s="270"/>
      <c r="IVJ3" s="272"/>
      <c r="IVK3" s="270"/>
      <c r="IVL3" s="272"/>
      <c r="IVM3" s="270"/>
      <c r="IVN3" s="272"/>
      <c r="IVO3" s="270"/>
      <c r="IVP3" s="272"/>
      <c r="IVQ3" s="270"/>
      <c r="IVR3" s="272"/>
      <c r="IVS3" s="270"/>
      <c r="IVT3" s="272"/>
      <c r="IVU3" s="270"/>
      <c r="IVV3" s="272"/>
      <c r="IVW3" s="270"/>
      <c r="IVX3" s="272"/>
      <c r="IVY3" s="270"/>
      <c r="IVZ3" s="272"/>
      <c r="IWA3" s="270"/>
      <c r="IWB3" s="272"/>
      <c r="IWC3" s="270"/>
      <c r="IWD3" s="272"/>
      <c r="IWE3" s="270"/>
      <c r="IWF3" s="272"/>
      <c r="IWG3" s="270"/>
      <c r="IWH3" s="272"/>
      <c r="IWI3" s="270"/>
      <c r="IWJ3" s="272"/>
      <c r="IWK3" s="270"/>
      <c r="IWL3" s="272"/>
      <c r="IWM3" s="270"/>
      <c r="IWN3" s="272"/>
      <c r="IWO3" s="270"/>
      <c r="IWP3" s="272"/>
      <c r="IWQ3" s="270"/>
      <c r="IWR3" s="272"/>
      <c r="IWS3" s="270"/>
      <c r="IWT3" s="272"/>
      <c r="IWU3" s="270"/>
      <c r="IWV3" s="272"/>
      <c r="IWW3" s="270"/>
      <c r="IWX3" s="272"/>
      <c r="IWY3" s="270"/>
      <c r="IWZ3" s="272"/>
      <c r="IXA3" s="270"/>
      <c r="IXB3" s="272"/>
      <c r="IXC3" s="270"/>
      <c r="IXD3" s="272"/>
      <c r="IXE3" s="270"/>
      <c r="IXF3" s="272"/>
      <c r="IXG3" s="270"/>
      <c r="IXH3" s="272"/>
      <c r="IXI3" s="270"/>
      <c r="IXJ3" s="272"/>
      <c r="IXK3" s="270"/>
      <c r="IXL3" s="272"/>
      <c r="IXM3" s="270"/>
      <c r="IXN3" s="272"/>
      <c r="IXO3" s="270"/>
      <c r="IXP3" s="272"/>
      <c r="IXQ3" s="270"/>
      <c r="IXR3" s="272"/>
      <c r="IXS3" s="270"/>
      <c r="IXT3" s="272"/>
      <c r="IXU3" s="270"/>
      <c r="IXV3" s="272"/>
      <c r="IXW3" s="270"/>
      <c r="IXX3" s="272"/>
      <c r="IXY3" s="270"/>
      <c r="IXZ3" s="272"/>
      <c r="IYA3" s="270"/>
      <c r="IYB3" s="272"/>
      <c r="IYC3" s="270"/>
      <c r="IYD3" s="272"/>
      <c r="IYE3" s="270"/>
      <c r="IYF3" s="272"/>
      <c r="IYG3" s="270"/>
      <c r="IYH3" s="272"/>
      <c r="IYI3" s="270"/>
      <c r="IYJ3" s="272"/>
      <c r="IYK3" s="270"/>
      <c r="IYL3" s="272"/>
      <c r="IYM3" s="270"/>
      <c r="IYN3" s="272"/>
      <c r="IYO3" s="270"/>
      <c r="IYP3" s="272"/>
      <c r="IYQ3" s="270"/>
      <c r="IYR3" s="272"/>
      <c r="IYS3" s="270"/>
      <c r="IYT3" s="272"/>
      <c r="IYU3" s="270"/>
      <c r="IYV3" s="272"/>
      <c r="IYW3" s="270"/>
      <c r="IYX3" s="272"/>
      <c r="IYY3" s="270"/>
      <c r="IYZ3" s="272"/>
      <c r="IZA3" s="270"/>
      <c r="IZB3" s="272"/>
      <c r="IZC3" s="270"/>
      <c r="IZD3" s="272"/>
      <c r="IZE3" s="270"/>
      <c r="IZF3" s="272"/>
      <c r="IZG3" s="270"/>
      <c r="IZH3" s="272"/>
      <c r="IZI3" s="270"/>
      <c r="IZJ3" s="272"/>
      <c r="IZK3" s="270"/>
      <c r="IZL3" s="272"/>
      <c r="IZM3" s="270"/>
      <c r="IZN3" s="272"/>
      <c r="IZO3" s="270"/>
      <c r="IZP3" s="272"/>
      <c r="IZQ3" s="270"/>
      <c r="IZR3" s="272"/>
      <c r="IZS3" s="270"/>
      <c r="IZT3" s="272"/>
      <c r="IZU3" s="270"/>
      <c r="IZV3" s="272"/>
      <c r="IZW3" s="270"/>
      <c r="IZX3" s="272"/>
      <c r="IZY3" s="270"/>
      <c r="IZZ3" s="272"/>
      <c r="JAA3" s="270"/>
      <c r="JAB3" s="272"/>
      <c r="JAC3" s="270"/>
      <c r="JAD3" s="272"/>
      <c r="JAE3" s="270"/>
      <c r="JAF3" s="272"/>
      <c r="JAG3" s="270"/>
      <c r="JAH3" s="272"/>
      <c r="JAI3" s="270"/>
      <c r="JAJ3" s="272"/>
      <c r="JAK3" s="270"/>
      <c r="JAL3" s="272"/>
      <c r="JAM3" s="270"/>
      <c r="JAN3" s="272"/>
      <c r="JAO3" s="270"/>
      <c r="JAP3" s="272"/>
      <c r="JAQ3" s="270"/>
      <c r="JAR3" s="272"/>
      <c r="JAS3" s="270"/>
      <c r="JAT3" s="272"/>
      <c r="JAU3" s="270"/>
      <c r="JAV3" s="272"/>
      <c r="JAW3" s="270"/>
      <c r="JAX3" s="272"/>
      <c r="JAY3" s="270"/>
      <c r="JAZ3" s="272"/>
      <c r="JBA3" s="270"/>
      <c r="JBB3" s="272"/>
      <c r="JBC3" s="270"/>
      <c r="JBD3" s="272"/>
      <c r="JBE3" s="270"/>
      <c r="JBF3" s="272"/>
      <c r="JBG3" s="270"/>
      <c r="JBH3" s="272"/>
      <c r="JBI3" s="270"/>
      <c r="JBJ3" s="272"/>
      <c r="JBK3" s="270"/>
      <c r="JBL3" s="272"/>
      <c r="JBM3" s="270"/>
      <c r="JBN3" s="272"/>
      <c r="JBO3" s="270"/>
      <c r="JBP3" s="272"/>
      <c r="JBQ3" s="270"/>
      <c r="JBR3" s="272"/>
      <c r="JBS3" s="270"/>
      <c r="JBT3" s="272"/>
      <c r="JBU3" s="270"/>
      <c r="JBV3" s="272"/>
      <c r="JBW3" s="270"/>
      <c r="JBX3" s="272"/>
      <c r="JBY3" s="270"/>
      <c r="JBZ3" s="272"/>
      <c r="JCA3" s="270"/>
      <c r="JCB3" s="272"/>
      <c r="JCC3" s="270"/>
      <c r="JCD3" s="272"/>
      <c r="JCE3" s="270"/>
      <c r="JCF3" s="272"/>
      <c r="JCG3" s="270"/>
      <c r="JCH3" s="272"/>
      <c r="JCI3" s="270"/>
      <c r="JCJ3" s="272"/>
      <c r="JCK3" s="270"/>
      <c r="JCL3" s="272"/>
      <c r="JCM3" s="270"/>
      <c r="JCN3" s="272"/>
      <c r="JCO3" s="270"/>
      <c r="JCP3" s="272"/>
      <c r="JCQ3" s="270"/>
      <c r="JCR3" s="272"/>
      <c r="JCS3" s="270"/>
      <c r="JCT3" s="272"/>
      <c r="JCU3" s="270"/>
      <c r="JCV3" s="272"/>
      <c r="JCW3" s="270"/>
      <c r="JCX3" s="272"/>
      <c r="JCY3" s="270"/>
      <c r="JCZ3" s="272"/>
      <c r="JDA3" s="270"/>
      <c r="JDB3" s="272"/>
      <c r="JDC3" s="270"/>
      <c r="JDD3" s="272"/>
      <c r="JDE3" s="270"/>
      <c r="JDF3" s="272"/>
      <c r="JDG3" s="270"/>
      <c r="JDH3" s="272"/>
      <c r="JDI3" s="270"/>
      <c r="JDJ3" s="272"/>
      <c r="JDK3" s="270"/>
      <c r="JDL3" s="272"/>
      <c r="JDM3" s="270"/>
      <c r="JDN3" s="272"/>
      <c r="JDO3" s="270"/>
      <c r="JDP3" s="272"/>
      <c r="JDQ3" s="270"/>
      <c r="JDR3" s="272"/>
      <c r="JDS3" s="270"/>
      <c r="JDT3" s="272"/>
      <c r="JDU3" s="270"/>
      <c r="JDV3" s="272"/>
      <c r="JDW3" s="270"/>
      <c r="JDX3" s="272"/>
      <c r="JDY3" s="270"/>
      <c r="JDZ3" s="272"/>
      <c r="JEA3" s="270"/>
      <c r="JEB3" s="272"/>
      <c r="JEC3" s="270"/>
      <c r="JED3" s="272"/>
      <c r="JEE3" s="270"/>
      <c r="JEF3" s="272"/>
      <c r="JEG3" s="270"/>
      <c r="JEH3" s="272"/>
      <c r="JEI3" s="270"/>
      <c r="JEJ3" s="272"/>
      <c r="JEK3" s="270"/>
      <c r="JEL3" s="272"/>
      <c r="JEM3" s="270"/>
      <c r="JEN3" s="272"/>
      <c r="JEO3" s="270"/>
      <c r="JEP3" s="272"/>
      <c r="JEQ3" s="270"/>
      <c r="JER3" s="272"/>
      <c r="JES3" s="270"/>
      <c r="JET3" s="272"/>
      <c r="JEU3" s="270"/>
      <c r="JEV3" s="272"/>
      <c r="JEW3" s="270"/>
      <c r="JEX3" s="272"/>
      <c r="JEY3" s="270"/>
      <c r="JEZ3" s="272"/>
      <c r="JFA3" s="270"/>
      <c r="JFB3" s="272"/>
      <c r="JFC3" s="270"/>
      <c r="JFD3" s="272"/>
      <c r="JFE3" s="270"/>
      <c r="JFF3" s="272"/>
      <c r="JFG3" s="270"/>
      <c r="JFH3" s="272"/>
      <c r="JFI3" s="270"/>
      <c r="JFJ3" s="272"/>
      <c r="JFK3" s="270"/>
      <c r="JFL3" s="272"/>
      <c r="JFM3" s="270"/>
      <c r="JFN3" s="272"/>
      <c r="JFO3" s="270"/>
      <c r="JFP3" s="272"/>
      <c r="JFQ3" s="270"/>
      <c r="JFR3" s="272"/>
      <c r="JFS3" s="270"/>
      <c r="JFT3" s="272"/>
      <c r="JFU3" s="270"/>
      <c r="JFV3" s="272"/>
      <c r="JFW3" s="270"/>
      <c r="JFX3" s="272"/>
      <c r="JFY3" s="270"/>
      <c r="JFZ3" s="272"/>
      <c r="JGA3" s="270"/>
      <c r="JGB3" s="272"/>
      <c r="JGC3" s="270"/>
      <c r="JGD3" s="272"/>
      <c r="JGE3" s="270"/>
      <c r="JGF3" s="272"/>
      <c r="JGG3" s="270"/>
      <c r="JGH3" s="272"/>
      <c r="JGI3" s="270"/>
      <c r="JGJ3" s="272"/>
      <c r="JGK3" s="270"/>
      <c r="JGL3" s="272"/>
      <c r="JGM3" s="270"/>
      <c r="JGN3" s="272"/>
      <c r="JGO3" s="270"/>
      <c r="JGP3" s="272"/>
      <c r="JGQ3" s="270"/>
      <c r="JGR3" s="272"/>
      <c r="JGS3" s="270"/>
      <c r="JGT3" s="272"/>
      <c r="JGU3" s="270"/>
      <c r="JGV3" s="272"/>
      <c r="JGW3" s="270"/>
      <c r="JGX3" s="272"/>
      <c r="JGY3" s="270"/>
      <c r="JGZ3" s="272"/>
      <c r="JHA3" s="270"/>
      <c r="JHB3" s="272"/>
      <c r="JHC3" s="270"/>
      <c r="JHD3" s="272"/>
      <c r="JHE3" s="270"/>
      <c r="JHF3" s="272"/>
      <c r="JHG3" s="270"/>
      <c r="JHH3" s="272"/>
      <c r="JHI3" s="270"/>
      <c r="JHJ3" s="272"/>
      <c r="JHK3" s="270"/>
      <c r="JHL3" s="272"/>
      <c r="JHM3" s="270"/>
      <c r="JHN3" s="272"/>
      <c r="JHO3" s="270"/>
      <c r="JHP3" s="272"/>
      <c r="JHQ3" s="270"/>
      <c r="JHR3" s="272"/>
      <c r="JHS3" s="270"/>
      <c r="JHT3" s="272"/>
      <c r="JHU3" s="270"/>
      <c r="JHV3" s="272"/>
      <c r="JHW3" s="270"/>
      <c r="JHX3" s="272"/>
      <c r="JHY3" s="270"/>
      <c r="JHZ3" s="272"/>
      <c r="JIA3" s="270"/>
      <c r="JIB3" s="272"/>
      <c r="JIC3" s="270"/>
      <c r="JID3" s="272"/>
      <c r="JIE3" s="270"/>
      <c r="JIF3" s="272"/>
      <c r="JIG3" s="270"/>
      <c r="JIH3" s="272"/>
      <c r="JII3" s="270"/>
      <c r="JIJ3" s="272"/>
      <c r="JIK3" s="270"/>
      <c r="JIL3" s="272"/>
      <c r="JIM3" s="270"/>
      <c r="JIN3" s="272"/>
      <c r="JIO3" s="270"/>
      <c r="JIP3" s="272"/>
      <c r="JIQ3" s="270"/>
      <c r="JIR3" s="272"/>
      <c r="JIS3" s="270"/>
      <c r="JIT3" s="272"/>
      <c r="JIU3" s="270"/>
      <c r="JIV3" s="272"/>
      <c r="JIW3" s="270"/>
      <c r="JIX3" s="272"/>
      <c r="JIY3" s="270"/>
      <c r="JIZ3" s="272"/>
      <c r="JJA3" s="270"/>
      <c r="JJB3" s="272"/>
      <c r="JJC3" s="270"/>
      <c r="JJD3" s="272"/>
      <c r="JJE3" s="270"/>
      <c r="JJF3" s="272"/>
      <c r="JJG3" s="270"/>
      <c r="JJH3" s="272"/>
      <c r="JJI3" s="270"/>
      <c r="JJJ3" s="272"/>
      <c r="JJK3" s="270"/>
      <c r="JJL3" s="272"/>
      <c r="JJM3" s="270"/>
      <c r="JJN3" s="272"/>
      <c r="JJO3" s="270"/>
      <c r="JJP3" s="272"/>
      <c r="JJQ3" s="270"/>
      <c r="JJR3" s="272"/>
      <c r="JJS3" s="270"/>
      <c r="JJT3" s="272"/>
      <c r="JJU3" s="270"/>
      <c r="JJV3" s="272"/>
      <c r="JJW3" s="270"/>
      <c r="JJX3" s="272"/>
      <c r="JJY3" s="270"/>
      <c r="JJZ3" s="272"/>
      <c r="JKA3" s="270"/>
      <c r="JKB3" s="272"/>
      <c r="JKC3" s="270"/>
      <c r="JKD3" s="272"/>
      <c r="JKE3" s="270"/>
      <c r="JKF3" s="272"/>
      <c r="JKG3" s="270"/>
      <c r="JKH3" s="272"/>
      <c r="JKI3" s="270"/>
      <c r="JKJ3" s="272"/>
      <c r="JKK3" s="270"/>
      <c r="JKL3" s="272"/>
      <c r="JKM3" s="270"/>
      <c r="JKN3" s="272"/>
      <c r="JKO3" s="270"/>
      <c r="JKP3" s="272"/>
      <c r="JKQ3" s="270"/>
      <c r="JKR3" s="272"/>
      <c r="JKS3" s="270"/>
      <c r="JKT3" s="272"/>
      <c r="JKU3" s="270"/>
      <c r="JKV3" s="272"/>
      <c r="JKW3" s="270"/>
      <c r="JKX3" s="272"/>
      <c r="JKY3" s="270"/>
      <c r="JKZ3" s="272"/>
      <c r="JLA3" s="270"/>
      <c r="JLB3" s="272"/>
      <c r="JLC3" s="270"/>
      <c r="JLD3" s="272"/>
      <c r="JLE3" s="270"/>
      <c r="JLF3" s="272"/>
      <c r="JLG3" s="270"/>
      <c r="JLH3" s="272"/>
      <c r="JLI3" s="270"/>
      <c r="JLJ3" s="272"/>
      <c r="JLK3" s="270"/>
      <c r="JLL3" s="272"/>
      <c r="JLM3" s="270"/>
      <c r="JLN3" s="272"/>
      <c r="JLO3" s="270"/>
      <c r="JLP3" s="272"/>
      <c r="JLQ3" s="270"/>
      <c r="JLR3" s="272"/>
      <c r="JLS3" s="270"/>
      <c r="JLT3" s="272"/>
      <c r="JLU3" s="270"/>
      <c r="JLV3" s="272"/>
      <c r="JLW3" s="270"/>
      <c r="JLX3" s="272"/>
      <c r="JLY3" s="270"/>
      <c r="JLZ3" s="272"/>
      <c r="JMA3" s="270"/>
      <c r="JMB3" s="272"/>
      <c r="JMC3" s="270"/>
      <c r="JMD3" s="272"/>
      <c r="JME3" s="270"/>
      <c r="JMF3" s="272"/>
      <c r="JMG3" s="270"/>
      <c r="JMH3" s="272"/>
      <c r="JMI3" s="270"/>
      <c r="JMJ3" s="272"/>
      <c r="JMK3" s="270"/>
      <c r="JML3" s="272"/>
      <c r="JMM3" s="270"/>
      <c r="JMN3" s="272"/>
      <c r="JMO3" s="270"/>
      <c r="JMP3" s="272"/>
      <c r="JMQ3" s="270"/>
      <c r="JMR3" s="272"/>
      <c r="JMS3" s="270"/>
      <c r="JMT3" s="272"/>
      <c r="JMU3" s="270"/>
      <c r="JMV3" s="272"/>
      <c r="JMW3" s="270"/>
      <c r="JMX3" s="272"/>
      <c r="JMY3" s="270"/>
      <c r="JMZ3" s="272"/>
      <c r="JNA3" s="270"/>
      <c r="JNB3" s="272"/>
      <c r="JNC3" s="270"/>
      <c r="JND3" s="272"/>
      <c r="JNE3" s="270"/>
      <c r="JNF3" s="272"/>
      <c r="JNG3" s="270"/>
      <c r="JNH3" s="272"/>
      <c r="JNI3" s="270"/>
      <c r="JNJ3" s="272"/>
      <c r="JNK3" s="270"/>
      <c r="JNL3" s="272"/>
      <c r="JNM3" s="270"/>
      <c r="JNN3" s="272"/>
      <c r="JNO3" s="270"/>
      <c r="JNP3" s="272"/>
      <c r="JNQ3" s="270"/>
      <c r="JNR3" s="272"/>
      <c r="JNS3" s="270"/>
      <c r="JNT3" s="272"/>
      <c r="JNU3" s="270"/>
      <c r="JNV3" s="272"/>
      <c r="JNW3" s="270"/>
      <c r="JNX3" s="272"/>
      <c r="JNY3" s="270"/>
      <c r="JNZ3" s="272"/>
      <c r="JOA3" s="270"/>
      <c r="JOB3" s="272"/>
      <c r="JOC3" s="270"/>
      <c r="JOD3" s="272"/>
      <c r="JOE3" s="270"/>
      <c r="JOF3" s="272"/>
      <c r="JOG3" s="270"/>
      <c r="JOH3" s="272"/>
      <c r="JOI3" s="270"/>
      <c r="JOJ3" s="272"/>
      <c r="JOK3" s="270"/>
      <c r="JOL3" s="272"/>
      <c r="JOM3" s="270"/>
      <c r="JON3" s="272"/>
      <c r="JOO3" s="270"/>
      <c r="JOP3" s="272"/>
      <c r="JOQ3" s="270"/>
      <c r="JOR3" s="272"/>
      <c r="JOS3" s="270"/>
      <c r="JOT3" s="272"/>
      <c r="JOU3" s="270"/>
      <c r="JOV3" s="272"/>
      <c r="JOW3" s="270"/>
      <c r="JOX3" s="272"/>
      <c r="JOY3" s="270"/>
      <c r="JOZ3" s="272"/>
      <c r="JPA3" s="270"/>
      <c r="JPB3" s="272"/>
      <c r="JPC3" s="270"/>
      <c r="JPD3" s="272"/>
      <c r="JPE3" s="270"/>
      <c r="JPF3" s="272"/>
      <c r="JPG3" s="270"/>
      <c r="JPH3" s="272"/>
      <c r="JPI3" s="270"/>
      <c r="JPJ3" s="272"/>
      <c r="JPK3" s="270"/>
      <c r="JPL3" s="272"/>
      <c r="JPM3" s="270"/>
      <c r="JPN3" s="272"/>
      <c r="JPO3" s="270"/>
      <c r="JPP3" s="272"/>
      <c r="JPQ3" s="270"/>
      <c r="JPR3" s="272"/>
      <c r="JPS3" s="270"/>
      <c r="JPT3" s="272"/>
      <c r="JPU3" s="270"/>
      <c r="JPV3" s="272"/>
      <c r="JPW3" s="270"/>
      <c r="JPX3" s="272"/>
      <c r="JPY3" s="270"/>
      <c r="JPZ3" s="272"/>
      <c r="JQA3" s="270"/>
      <c r="JQB3" s="272"/>
      <c r="JQC3" s="270"/>
      <c r="JQD3" s="272"/>
      <c r="JQE3" s="270"/>
      <c r="JQF3" s="272"/>
      <c r="JQG3" s="270"/>
      <c r="JQH3" s="272"/>
      <c r="JQI3" s="270"/>
      <c r="JQJ3" s="272"/>
      <c r="JQK3" s="270"/>
      <c r="JQL3" s="272"/>
      <c r="JQM3" s="270"/>
      <c r="JQN3" s="272"/>
      <c r="JQO3" s="270"/>
      <c r="JQP3" s="272"/>
      <c r="JQQ3" s="270"/>
      <c r="JQR3" s="272"/>
      <c r="JQS3" s="270"/>
      <c r="JQT3" s="272"/>
      <c r="JQU3" s="270"/>
      <c r="JQV3" s="272"/>
      <c r="JQW3" s="270"/>
      <c r="JQX3" s="272"/>
      <c r="JQY3" s="270"/>
      <c r="JQZ3" s="272"/>
      <c r="JRA3" s="270"/>
      <c r="JRB3" s="272"/>
      <c r="JRC3" s="270"/>
      <c r="JRD3" s="272"/>
      <c r="JRE3" s="270"/>
      <c r="JRF3" s="272"/>
      <c r="JRG3" s="270"/>
      <c r="JRH3" s="272"/>
      <c r="JRI3" s="270"/>
      <c r="JRJ3" s="272"/>
      <c r="JRK3" s="270"/>
      <c r="JRL3" s="272"/>
      <c r="JRM3" s="270"/>
      <c r="JRN3" s="272"/>
      <c r="JRO3" s="270"/>
      <c r="JRP3" s="272"/>
      <c r="JRQ3" s="270"/>
      <c r="JRR3" s="272"/>
      <c r="JRS3" s="270"/>
      <c r="JRT3" s="272"/>
      <c r="JRU3" s="270"/>
      <c r="JRV3" s="272"/>
      <c r="JRW3" s="270"/>
      <c r="JRX3" s="272"/>
      <c r="JRY3" s="270"/>
      <c r="JRZ3" s="272"/>
      <c r="JSA3" s="270"/>
      <c r="JSB3" s="272"/>
      <c r="JSC3" s="270"/>
      <c r="JSD3" s="272"/>
      <c r="JSE3" s="270"/>
      <c r="JSF3" s="272"/>
      <c r="JSG3" s="270"/>
      <c r="JSH3" s="272"/>
      <c r="JSI3" s="270"/>
      <c r="JSJ3" s="272"/>
      <c r="JSK3" s="270"/>
      <c r="JSL3" s="272"/>
      <c r="JSM3" s="270"/>
      <c r="JSN3" s="272"/>
      <c r="JSO3" s="270"/>
      <c r="JSP3" s="272"/>
      <c r="JSQ3" s="270"/>
      <c r="JSR3" s="272"/>
      <c r="JSS3" s="270"/>
      <c r="JST3" s="272"/>
      <c r="JSU3" s="270"/>
      <c r="JSV3" s="272"/>
      <c r="JSW3" s="270"/>
      <c r="JSX3" s="272"/>
      <c r="JSY3" s="270"/>
      <c r="JSZ3" s="272"/>
      <c r="JTA3" s="270"/>
      <c r="JTB3" s="272"/>
      <c r="JTC3" s="270"/>
      <c r="JTD3" s="272"/>
      <c r="JTE3" s="270"/>
      <c r="JTF3" s="272"/>
      <c r="JTG3" s="270"/>
      <c r="JTH3" s="272"/>
      <c r="JTI3" s="270"/>
      <c r="JTJ3" s="272"/>
      <c r="JTK3" s="270"/>
      <c r="JTL3" s="272"/>
      <c r="JTM3" s="270"/>
      <c r="JTN3" s="272"/>
      <c r="JTO3" s="270"/>
      <c r="JTP3" s="272"/>
      <c r="JTQ3" s="270"/>
      <c r="JTR3" s="272"/>
      <c r="JTS3" s="270"/>
      <c r="JTT3" s="272"/>
      <c r="JTU3" s="270"/>
      <c r="JTV3" s="272"/>
      <c r="JTW3" s="270"/>
      <c r="JTX3" s="272"/>
      <c r="JTY3" s="270"/>
      <c r="JTZ3" s="272"/>
      <c r="JUA3" s="270"/>
      <c r="JUB3" s="272"/>
      <c r="JUC3" s="270"/>
      <c r="JUD3" s="272"/>
      <c r="JUE3" s="270"/>
      <c r="JUF3" s="272"/>
      <c r="JUG3" s="270"/>
      <c r="JUH3" s="272"/>
      <c r="JUI3" s="270"/>
      <c r="JUJ3" s="272"/>
      <c r="JUK3" s="270"/>
      <c r="JUL3" s="272"/>
      <c r="JUM3" s="270"/>
      <c r="JUN3" s="272"/>
      <c r="JUO3" s="270"/>
      <c r="JUP3" s="272"/>
      <c r="JUQ3" s="270"/>
      <c r="JUR3" s="272"/>
      <c r="JUS3" s="270"/>
      <c r="JUT3" s="272"/>
      <c r="JUU3" s="270"/>
      <c r="JUV3" s="272"/>
      <c r="JUW3" s="270"/>
      <c r="JUX3" s="272"/>
      <c r="JUY3" s="270"/>
      <c r="JUZ3" s="272"/>
      <c r="JVA3" s="270"/>
      <c r="JVB3" s="272"/>
      <c r="JVC3" s="270"/>
      <c r="JVD3" s="272"/>
      <c r="JVE3" s="270"/>
      <c r="JVF3" s="272"/>
      <c r="JVG3" s="270"/>
      <c r="JVH3" s="272"/>
      <c r="JVI3" s="270"/>
      <c r="JVJ3" s="272"/>
      <c r="JVK3" s="270"/>
      <c r="JVL3" s="272"/>
      <c r="JVM3" s="270"/>
      <c r="JVN3" s="272"/>
      <c r="JVO3" s="270"/>
      <c r="JVP3" s="272"/>
      <c r="JVQ3" s="270"/>
      <c r="JVR3" s="272"/>
      <c r="JVS3" s="270"/>
      <c r="JVT3" s="272"/>
      <c r="JVU3" s="270"/>
      <c r="JVV3" s="272"/>
      <c r="JVW3" s="270"/>
      <c r="JVX3" s="272"/>
      <c r="JVY3" s="270"/>
      <c r="JVZ3" s="272"/>
      <c r="JWA3" s="270"/>
      <c r="JWB3" s="272"/>
      <c r="JWC3" s="270"/>
      <c r="JWD3" s="272"/>
      <c r="JWE3" s="270"/>
      <c r="JWF3" s="272"/>
      <c r="JWG3" s="270"/>
      <c r="JWH3" s="272"/>
      <c r="JWI3" s="270"/>
      <c r="JWJ3" s="272"/>
      <c r="JWK3" s="270"/>
      <c r="JWL3" s="272"/>
      <c r="JWM3" s="270"/>
      <c r="JWN3" s="272"/>
      <c r="JWO3" s="270"/>
      <c r="JWP3" s="272"/>
      <c r="JWQ3" s="270"/>
      <c r="JWR3" s="272"/>
      <c r="JWS3" s="270"/>
      <c r="JWT3" s="272"/>
      <c r="JWU3" s="270"/>
      <c r="JWV3" s="272"/>
      <c r="JWW3" s="270"/>
      <c r="JWX3" s="272"/>
      <c r="JWY3" s="270"/>
      <c r="JWZ3" s="272"/>
      <c r="JXA3" s="270"/>
      <c r="JXB3" s="272"/>
      <c r="JXC3" s="270"/>
      <c r="JXD3" s="272"/>
      <c r="JXE3" s="270"/>
      <c r="JXF3" s="272"/>
      <c r="JXG3" s="270"/>
      <c r="JXH3" s="272"/>
      <c r="JXI3" s="270"/>
      <c r="JXJ3" s="272"/>
      <c r="JXK3" s="270"/>
      <c r="JXL3" s="272"/>
      <c r="JXM3" s="270"/>
      <c r="JXN3" s="272"/>
      <c r="JXO3" s="270"/>
      <c r="JXP3" s="272"/>
      <c r="JXQ3" s="270"/>
      <c r="JXR3" s="272"/>
      <c r="JXS3" s="270"/>
      <c r="JXT3" s="272"/>
      <c r="JXU3" s="270"/>
      <c r="JXV3" s="272"/>
      <c r="JXW3" s="270"/>
      <c r="JXX3" s="272"/>
      <c r="JXY3" s="270"/>
      <c r="JXZ3" s="272"/>
      <c r="JYA3" s="270"/>
      <c r="JYB3" s="272"/>
      <c r="JYC3" s="270"/>
      <c r="JYD3" s="272"/>
      <c r="JYE3" s="270"/>
      <c r="JYF3" s="272"/>
      <c r="JYG3" s="270"/>
      <c r="JYH3" s="272"/>
      <c r="JYI3" s="270"/>
      <c r="JYJ3" s="272"/>
      <c r="JYK3" s="270"/>
      <c r="JYL3" s="272"/>
      <c r="JYM3" s="270"/>
      <c r="JYN3" s="272"/>
      <c r="JYO3" s="270"/>
      <c r="JYP3" s="272"/>
      <c r="JYQ3" s="270"/>
      <c r="JYR3" s="272"/>
      <c r="JYS3" s="270"/>
      <c r="JYT3" s="272"/>
      <c r="JYU3" s="270"/>
      <c r="JYV3" s="272"/>
      <c r="JYW3" s="270"/>
      <c r="JYX3" s="272"/>
      <c r="JYY3" s="270"/>
      <c r="JYZ3" s="272"/>
      <c r="JZA3" s="270"/>
      <c r="JZB3" s="272"/>
      <c r="JZC3" s="270"/>
      <c r="JZD3" s="272"/>
      <c r="JZE3" s="270"/>
      <c r="JZF3" s="272"/>
      <c r="JZG3" s="270"/>
      <c r="JZH3" s="272"/>
      <c r="JZI3" s="270"/>
      <c r="JZJ3" s="272"/>
      <c r="JZK3" s="270"/>
      <c r="JZL3" s="272"/>
      <c r="JZM3" s="270"/>
      <c r="JZN3" s="272"/>
      <c r="JZO3" s="270"/>
      <c r="JZP3" s="272"/>
      <c r="JZQ3" s="270"/>
      <c r="JZR3" s="272"/>
      <c r="JZS3" s="270"/>
      <c r="JZT3" s="272"/>
      <c r="JZU3" s="270"/>
      <c r="JZV3" s="272"/>
      <c r="JZW3" s="270"/>
      <c r="JZX3" s="272"/>
      <c r="JZY3" s="270"/>
      <c r="JZZ3" s="272"/>
      <c r="KAA3" s="270"/>
      <c r="KAB3" s="272"/>
      <c r="KAC3" s="270"/>
      <c r="KAD3" s="272"/>
      <c r="KAE3" s="270"/>
      <c r="KAF3" s="272"/>
      <c r="KAG3" s="270"/>
      <c r="KAH3" s="272"/>
      <c r="KAI3" s="270"/>
      <c r="KAJ3" s="272"/>
      <c r="KAK3" s="270"/>
      <c r="KAL3" s="272"/>
      <c r="KAM3" s="270"/>
      <c r="KAN3" s="272"/>
      <c r="KAO3" s="270"/>
      <c r="KAP3" s="272"/>
      <c r="KAQ3" s="270"/>
      <c r="KAR3" s="272"/>
      <c r="KAS3" s="270"/>
      <c r="KAT3" s="272"/>
      <c r="KAU3" s="270"/>
      <c r="KAV3" s="272"/>
      <c r="KAW3" s="270"/>
      <c r="KAX3" s="272"/>
      <c r="KAY3" s="270"/>
      <c r="KAZ3" s="272"/>
      <c r="KBA3" s="270"/>
      <c r="KBB3" s="272"/>
      <c r="KBC3" s="270"/>
      <c r="KBD3" s="272"/>
      <c r="KBE3" s="270"/>
      <c r="KBF3" s="272"/>
      <c r="KBG3" s="270"/>
      <c r="KBH3" s="272"/>
      <c r="KBI3" s="270"/>
      <c r="KBJ3" s="272"/>
      <c r="KBK3" s="270"/>
      <c r="KBL3" s="272"/>
      <c r="KBM3" s="270"/>
      <c r="KBN3" s="272"/>
      <c r="KBO3" s="270"/>
      <c r="KBP3" s="272"/>
      <c r="KBQ3" s="270"/>
      <c r="KBR3" s="272"/>
      <c r="KBS3" s="270"/>
      <c r="KBT3" s="272"/>
      <c r="KBU3" s="270"/>
      <c r="KBV3" s="272"/>
      <c r="KBW3" s="270"/>
      <c r="KBX3" s="272"/>
      <c r="KBY3" s="270"/>
      <c r="KBZ3" s="272"/>
      <c r="KCA3" s="270"/>
      <c r="KCB3" s="272"/>
      <c r="KCC3" s="270"/>
      <c r="KCD3" s="272"/>
      <c r="KCE3" s="270"/>
      <c r="KCF3" s="272"/>
      <c r="KCG3" s="270"/>
      <c r="KCH3" s="272"/>
      <c r="KCI3" s="270"/>
      <c r="KCJ3" s="272"/>
      <c r="KCK3" s="270"/>
      <c r="KCL3" s="272"/>
      <c r="KCM3" s="270"/>
      <c r="KCN3" s="272"/>
      <c r="KCO3" s="270"/>
      <c r="KCP3" s="272"/>
      <c r="KCQ3" s="270"/>
      <c r="KCR3" s="272"/>
      <c r="KCS3" s="270"/>
      <c r="KCT3" s="272"/>
      <c r="KCU3" s="270"/>
      <c r="KCV3" s="272"/>
      <c r="KCW3" s="270"/>
      <c r="KCX3" s="272"/>
      <c r="KCY3" s="270"/>
      <c r="KCZ3" s="272"/>
      <c r="KDA3" s="270"/>
      <c r="KDB3" s="272"/>
      <c r="KDC3" s="270"/>
      <c r="KDD3" s="272"/>
      <c r="KDE3" s="270"/>
      <c r="KDF3" s="272"/>
      <c r="KDG3" s="270"/>
      <c r="KDH3" s="272"/>
      <c r="KDI3" s="270"/>
      <c r="KDJ3" s="272"/>
      <c r="KDK3" s="270"/>
      <c r="KDL3" s="272"/>
      <c r="KDM3" s="270"/>
      <c r="KDN3" s="272"/>
      <c r="KDO3" s="270"/>
      <c r="KDP3" s="272"/>
      <c r="KDQ3" s="270"/>
      <c r="KDR3" s="272"/>
      <c r="KDS3" s="270"/>
      <c r="KDT3" s="272"/>
      <c r="KDU3" s="270"/>
      <c r="KDV3" s="272"/>
      <c r="KDW3" s="270"/>
      <c r="KDX3" s="272"/>
      <c r="KDY3" s="270"/>
      <c r="KDZ3" s="272"/>
      <c r="KEA3" s="270"/>
      <c r="KEB3" s="272"/>
      <c r="KEC3" s="270"/>
      <c r="KED3" s="272"/>
      <c r="KEE3" s="270"/>
      <c r="KEF3" s="272"/>
      <c r="KEG3" s="270"/>
      <c r="KEH3" s="272"/>
      <c r="KEI3" s="270"/>
      <c r="KEJ3" s="272"/>
      <c r="KEK3" s="270"/>
      <c r="KEL3" s="272"/>
      <c r="KEM3" s="270"/>
      <c r="KEN3" s="272"/>
      <c r="KEO3" s="270"/>
      <c r="KEP3" s="272"/>
      <c r="KEQ3" s="270"/>
      <c r="KER3" s="272"/>
      <c r="KES3" s="270"/>
      <c r="KET3" s="272"/>
      <c r="KEU3" s="270"/>
      <c r="KEV3" s="272"/>
      <c r="KEW3" s="270"/>
      <c r="KEX3" s="272"/>
      <c r="KEY3" s="270"/>
      <c r="KEZ3" s="272"/>
      <c r="KFA3" s="270"/>
      <c r="KFB3" s="272"/>
      <c r="KFC3" s="270"/>
      <c r="KFD3" s="272"/>
      <c r="KFE3" s="270"/>
      <c r="KFF3" s="272"/>
      <c r="KFG3" s="270"/>
      <c r="KFH3" s="272"/>
      <c r="KFI3" s="270"/>
      <c r="KFJ3" s="272"/>
      <c r="KFK3" s="270"/>
      <c r="KFL3" s="272"/>
      <c r="KFM3" s="270"/>
      <c r="KFN3" s="272"/>
      <c r="KFO3" s="270"/>
      <c r="KFP3" s="272"/>
      <c r="KFQ3" s="270"/>
      <c r="KFR3" s="272"/>
      <c r="KFS3" s="270"/>
      <c r="KFT3" s="272"/>
      <c r="KFU3" s="270"/>
      <c r="KFV3" s="272"/>
      <c r="KFW3" s="270"/>
      <c r="KFX3" s="272"/>
      <c r="KFY3" s="270"/>
      <c r="KFZ3" s="272"/>
      <c r="KGA3" s="270"/>
      <c r="KGB3" s="272"/>
      <c r="KGC3" s="270"/>
      <c r="KGD3" s="272"/>
      <c r="KGE3" s="270"/>
      <c r="KGF3" s="272"/>
      <c r="KGG3" s="270"/>
      <c r="KGH3" s="272"/>
      <c r="KGI3" s="270"/>
      <c r="KGJ3" s="272"/>
      <c r="KGK3" s="270"/>
      <c r="KGL3" s="272"/>
      <c r="KGM3" s="270"/>
      <c r="KGN3" s="272"/>
      <c r="KGO3" s="270"/>
      <c r="KGP3" s="272"/>
      <c r="KGQ3" s="270"/>
      <c r="KGR3" s="272"/>
      <c r="KGS3" s="270"/>
      <c r="KGT3" s="272"/>
      <c r="KGU3" s="270"/>
      <c r="KGV3" s="272"/>
      <c r="KGW3" s="270"/>
      <c r="KGX3" s="272"/>
      <c r="KGY3" s="270"/>
      <c r="KGZ3" s="272"/>
      <c r="KHA3" s="270"/>
      <c r="KHB3" s="272"/>
      <c r="KHC3" s="270"/>
      <c r="KHD3" s="272"/>
      <c r="KHE3" s="270"/>
      <c r="KHF3" s="272"/>
      <c r="KHG3" s="270"/>
      <c r="KHH3" s="272"/>
      <c r="KHI3" s="270"/>
      <c r="KHJ3" s="272"/>
      <c r="KHK3" s="270"/>
      <c r="KHL3" s="272"/>
      <c r="KHM3" s="270"/>
      <c r="KHN3" s="272"/>
      <c r="KHO3" s="270"/>
      <c r="KHP3" s="272"/>
      <c r="KHQ3" s="270"/>
      <c r="KHR3" s="272"/>
      <c r="KHS3" s="270"/>
      <c r="KHT3" s="272"/>
      <c r="KHU3" s="270"/>
      <c r="KHV3" s="272"/>
      <c r="KHW3" s="270"/>
      <c r="KHX3" s="272"/>
      <c r="KHY3" s="270"/>
      <c r="KHZ3" s="272"/>
      <c r="KIA3" s="270"/>
      <c r="KIB3" s="272"/>
      <c r="KIC3" s="270"/>
      <c r="KID3" s="272"/>
      <c r="KIE3" s="270"/>
      <c r="KIF3" s="272"/>
      <c r="KIG3" s="270"/>
      <c r="KIH3" s="272"/>
      <c r="KII3" s="270"/>
      <c r="KIJ3" s="272"/>
      <c r="KIK3" s="270"/>
      <c r="KIL3" s="272"/>
      <c r="KIM3" s="270"/>
      <c r="KIN3" s="272"/>
      <c r="KIO3" s="270"/>
      <c r="KIP3" s="272"/>
      <c r="KIQ3" s="270"/>
      <c r="KIR3" s="272"/>
      <c r="KIS3" s="270"/>
      <c r="KIT3" s="272"/>
      <c r="KIU3" s="270"/>
      <c r="KIV3" s="272"/>
      <c r="KIW3" s="270"/>
      <c r="KIX3" s="272"/>
      <c r="KIY3" s="270"/>
      <c r="KIZ3" s="272"/>
      <c r="KJA3" s="270"/>
      <c r="KJB3" s="272"/>
      <c r="KJC3" s="270"/>
      <c r="KJD3" s="272"/>
      <c r="KJE3" s="270"/>
      <c r="KJF3" s="272"/>
      <c r="KJG3" s="270"/>
      <c r="KJH3" s="272"/>
      <c r="KJI3" s="270"/>
      <c r="KJJ3" s="272"/>
      <c r="KJK3" s="270"/>
      <c r="KJL3" s="272"/>
      <c r="KJM3" s="270"/>
      <c r="KJN3" s="272"/>
      <c r="KJO3" s="270"/>
      <c r="KJP3" s="272"/>
      <c r="KJQ3" s="270"/>
      <c r="KJR3" s="272"/>
      <c r="KJS3" s="270"/>
      <c r="KJT3" s="272"/>
      <c r="KJU3" s="270"/>
      <c r="KJV3" s="272"/>
      <c r="KJW3" s="270"/>
      <c r="KJX3" s="272"/>
      <c r="KJY3" s="270"/>
      <c r="KJZ3" s="272"/>
      <c r="KKA3" s="270"/>
      <c r="KKB3" s="272"/>
      <c r="KKC3" s="270"/>
      <c r="KKD3" s="272"/>
      <c r="KKE3" s="270"/>
      <c r="KKF3" s="272"/>
      <c r="KKG3" s="270"/>
      <c r="KKH3" s="272"/>
      <c r="KKI3" s="270"/>
      <c r="KKJ3" s="272"/>
      <c r="KKK3" s="270"/>
      <c r="KKL3" s="272"/>
      <c r="KKM3" s="270"/>
      <c r="KKN3" s="272"/>
      <c r="KKO3" s="270"/>
      <c r="KKP3" s="272"/>
      <c r="KKQ3" s="270"/>
      <c r="KKR3" s="272"/>
      <c r="KKS3" s="270"/>
      <c r="KKT3" s="272"/>
      <c r="KKU3" s="270"/>
      <c r="KKV3" s="272"/>
      <c r="KKW3" s="270"/>
      <c r="KKX3" s="272"/>
      <c r="KKY3" s="270"/>
      <c r="KKZ3" s="272"/>
      <c r="KLA3" s="270"/>
      <c r="KLB3" s="272"/>
      <c r="KLC3" s="270"/>
      <c r="KLD3" s="272"/>
      <c r="KLE3" s="270"/>
      <c r="KLF3" s="272"/>
      <c r="KLG3" s="270"/>
      <c r="KLH3" s="272"/>
      <c r="KLI3" s="270"/>
      <c r="KLJ3" s="272"/>
      <c r="KLK3" s="270"/>
      <c r="KLL3" s="272"/>
      <c r="KLM3" s="270"/>
      <c r="KLN3" s="272"/>
      <c r="KLO3" s="270"/>
      <c r="KLP3" s="272"/>
      <c r="KLQ3" s="270"/>
      <c r="KLR3" s="272"/>
      <c r="KLS3" s="270"/>
      <c r="KLT3" s="272"/>
      <c r="KLU3" s="270"/>
      <c r="KLV3" s="272"/>
      <c r="KLW3" s="270"/>
      <c r="KLX3" s="272"/>
      <c r="KLY3" s="270"/>
      <c r="KLZ3" s="272"/>
      <c r="KMA3" s="270"/>
      <c r="KMB3" s="272"/>
      <c r="KMC3" s="270"/>
      <c r="KMD3" s="272"/>
      <c r="KME3" s="270"/>
      <c r="KMF3" s="272"/>
      <c r="KMG3" s="270"/>
      <c r="KMH3" s="272"/>
      <c r="KMI3" s="270"/>
      <c r="KMJ3" s="272"/>
      <c r="KMK3" s="270"/>
      <c r="KML3" s="272"/>
      <c r="KMM3" s="270"/>
      <c r="KMN3" s="272"/>
      <c r="KMO3" s="270"/>
      <c r="KMP3" s="272"/>
      <c r="KMQ3" s="270"/>
      <c r="KMR3" s="272"/>
      <c r="KMS3" s="270"/>
      <c r="KMT3" s="272"/>
      <c r="KMU3" s="270"/>
      <c r="KMV3" s="272"/>
      <c r="KMW3" s="270"/>
      <c r="KMX3" s="272"/>
      <c r="KMY3" s="270"/>
      <c r="KMZ3" s="272"/>
      <c r="KNA3" s="270"/>
      <c r="KNB3" s="272"/>
      <c r="KNC3" s="270"/>
      <c r="KND3" s="272"/>
      <c r="KNE3" s="270"/>
      <c r="KNF3" s="272"/>
      <c r="KNG3" s="270"/>
      <c r="KNH3" s="272"/>
      <c r="KNI3" s="270"/>
      <c r="KNJ3" s="272"/>
      <c r="KNK3" s="270"/>
      <c r="KNL3" s="272"/>
      <c r="KNM3" s="270"/>
      <c r="KNN3" s="272"/>
      <c r="KNO3" s="270"/>
      <c r="KNP3" s="272"/>
      <c r="KNQ3" s="270"/>
      <c r="KNR3" s="272"/>
      <c r="KNS3" s="270"/>
      <c r="KNT3" s="272"/>
      <c r="KNU3" s="270"/>
      <c r="KNV3" s="272"/>
      <c r="KNW3" s="270"/>
      <c r="KNX3" s="272"/>
      <c r="KNY3" s="270"/>
      <c r="KNZ3" s="272"/>
      <c r="KOA3" s="270"/>
      <c r="KOB3" s="272"/>
      <c r="KOC3" s="270"/>
      <c r="KOD3" s="272"/>
      <c r="KOE3" s="270"/>
      <c r="KOF3" s="272"/>
      <c r="KOG3" s="270"/>
      <c r="KOH3" s="272"/>
      <c r="KOI3" s="270"/>
      <c r="KOJ3" s="272"/>
      <c r="KOK3" s="270"/>
      <c r="KOL3" s="272"/>
      <c r="KOM3" s="270"/>
      <c r="KON3" s="272"/>
      <c r="KOO3" s="270"/>
      <c r="KOP3" s="272"/>
      <c r="KOQ3" s="270"/>
      <c r="KOR3" s="272"/>
      <c r="KOS3" s="270"/>
      <c r="KOT3" s="272"/>
      <c r="KOU3" s="270"/>
      <c r="KOV3" s="272"/>
      <c r="KOW3" s="270"/>
      <c r="KOX3" s="272"/>
      <c r="KOY3" s="270"/>
      <c r="KOZ3" s="272"/>
      <c r="KPA3" s="270"/>
      <c r="KPB3" s="272"/>
      <c r="KPC3" s="270"/>
      <c r="KPD3" s="272"/>
      <c r="KPE3" s="270"/>
      <c r="KPF3" s="272"/>
      <c r="KPG3" s="270"/>
      <c r="KPH3" s="272"/>
      <c r="KPI3" s="270"/>
      <c r="KPJ3" s="272"/>
      <c r="KPK3" s="270"/>
      <c r="KPL3" s="272"/>
      <c r="KPM3" s="270"/>
      <c r="KPN3" s="272"/>
      <c r="KPO3" s="270"/>
      <c r="KPP3" s="272"/>
      <c r="KPQ3" s="270"/>
      <c r="KPR3" s="272"/>
      <c r="KPS3" s="270"/>
      <c r="KPT3" s="272"/>
      <c r="KPU3" s="270"/>
      <c r="KPV3" s="272"/>
      <c r="KPW3" s="270"/>
      <c r="KPX3" s="272"/>
      <c r="KPY3" s="270"/>
      <c r="KPZ3" s="272"/>
      <c r="KQA3" s="270"/>
      <c r="KQB3" s="272"/>
      <c r="KQC3" s="270"/>
      <c r="KQD3" s="272"/>
      <c r="KQE3" s="270"/>
      <c r="KQF3" s="272"/>
      <c r="KQG3" s="270"/>
      <c r="KQH3" s="272"/>
      <c r="KQI3" s="270"/>
      <c r="KQJ3" s="272"/>
      <c r="KQK3" s="270"/>
      <c r="KQL3" s="272"/>
      <c r="KQM3" s="270"/>
      <c r="KQN3" s="272"/>
      <c r="KQO3" s="270"/>
      <c r="KQP3" s="272"/>
      <c r="KQQ3" s="270"/>
      <c r="KQR3" s="272"/>
      <c r="KQS3" s="270"/>
      <c r="KQT3" s="272"/>
      <c r="KQU3" s="270"/>
      <c r="KQV3" s="272"/>
      <c r="KQW3" s="270"/>
      <c r="KQX3" s="272"/>
      <c r="KQY3" s="270"/>
      <c r="KQZ3" s="272"/>
      <c r="KRA3" s="270"/>
      <c r="KRB3" s="272"/>
      <c r="KRC3" s="270"/>
      <c r="KRD3" s="272"/>
      <c r="KRE3" s="270"/>
      <c r="KRF3" s="272"/>
      <c r="KRG3" s="270"/>
      <c r="KRH3" s="272"/>
      <c r="KRI3" s="270"/>
      <c r="KRJ3" s="272"/>
      <c r="KRK3" s="270"/>
      <c r="KRL3" s="272"/>
      <c r="KRM3" s="270"/>
      <c r="KRN3" s="272"/>
      <c r="KRO3" s="270"/>
      <c r="KRP3" s="272"/>
      <c r="KRQ3" s="270"/>
      <c r="KRR3" s="272"/>
      <c r="KRS3" s="270"/>
      <c r="KRT3" s="272"/>
      <c r="KRU3" s="270"/>
      <c r="KRV3" s="272"/>
      <c r="KRW3" s="270"/>
      <c r="KRX3" s="272"/>
      <c r="KRY3" s="270"/>
      <c r="KRZ3" s="272"/>
      <c r="KSA3" s="270"/>
      <c r="KSB3" s="272"/>
      <c r="KSC3" s="270"/>
      <c r="KSD3" s="272"/>
      <c r="KSE3" s="270"/>
      <c r="KSF3" s="272"/>
      <c r="KSG3" s="270"/>
      <c r="KSH3" s="272"/>
      <c r="KSI3" s="270"/>
      <c r="KSJ3" s="272"/>
      <c r="KSK3" s="270"/>
      <c r="KSL3" s="272"/>
      <c r="KSM3" s="270"/>
      <c r="KSN3" s="272"/>
      <c r="KSO3" s="270"/>
      <c r="KSP3" s="272"/>
      <c r="KSQ3" s="270"/>
      <c r="KSR3" s="272"/>
      <c r="KSS3" s="270"/>
      <c r="KST3" s="272"/>
      <c r="KSU3" s="270"/>
      <c r="KSV3" s="272"/>
      <c r="KSW3" s="270"/>
      <c r="KSX3" s="272"/>
      <c r="KSY3" s="270"/>
      <c r="KSZ3" s="272"/>
      <c r="KTA3" s="270"/>
      <c r="KTB3" s="272"/>
      <c r="KTC3" s="270"/>
      <c r="KTD3" s="272"/>
      <c r="KTE3" s="270"/>
      <c r="KTF3" s="272"/>
      <c r="KTG3" s="270"/>
      <c r="KTH3" s="272"/>
      <c r="KTI3" s="270"/>
      <c r="KTJ3" s="272"/>
      <c r="KTK3" s="270"/>
      <c r="KTL3" s="272"/>
      <c r="KTM3" s="270"/>
      <c r="KTN3" s="272"/>
      <c r="KTO3" s="270"/>
      <c r="KTP3" s="272"/>
      <c r="KTQ3" s="270"/>
      <c r="KTR3" s="272"/>
      <c r="KTS3" s="270"/>
      <c r="KTT3" s="272"/>
      <c r="KTU3" s="270"/>
      <c r="KTV3" s="272"/>
      <c r="KTW3" s="270"/>
      <c r="KTX3" s="272"/>
      <c r="KTY3" s="270"/>
      <c r="KTZ3" s="272"/>
      <c r="KUA3" s="270"/>
      <c r="KUB3" s="272"/>
      <c r="KUC3" s="270"/>
      <c r="KUD3" s="272"/>
      <c r="KUE3" s="270"/>
      <c r="KUF3" s="272"/>
      <c r="KUG3" s="270"/>
      <c r="KUH3" s="272"/>
      <c r="KUI3" s="270"/>
      <c r="KUJ3" s="272"/>
      <c r="KUK3" s="270"/>
      <c r="KUL3" s="272"/>
      <c r="KUM3" s="270"/>
      <c r="KUN3" s="272"/>
      <c r="KUO3" s="270"/>
      <c r="KUP3" s="272"/>
      <c r="KUQ3" s="270"/>
      <c r="KUR3" s="272"/>
      <c r="KUS3" s="270"/>
      <c r="KUT3" s="272"/>
      <c r="KUU3" s="270"/>
      <c r="KUV3" s="272"/>
      <c r="KUW3" s="270"/>
      <c r="KUX3" s="272"/>
      <c r="KUY3" s="270"/>
      <c r="KUZ3" s="272"/>
      <c r="KVA3" s="270"/>
      <c r="KVB3" s="272"/>
      <c r="KVC3" s="270"/>
      <c r="KVD3" s="272"/>
      <c r="KVE3" s="270"/>
      <c r="KVF3" s="272"/>
      <c r="KVG3" s="270"/>
      <c r="KVH3" s="272"/>
      <c r="KVI3" s="270"/>
      <c r="KVJ3" s="272"/>
      <c r="KVK3" s="270"/>
      <c r="KVL3" s="272"/>
      <c r="KVM3" s="270"/>
      <c r="KVN3" s="272"/>
      <c r="KVO3" s="270"/>
      <c r="KVP3" s="272"/>
      <c r="KVQ3" s="270"/>
      <c r="KVR3" s="272"/>
      <c r="KVS3" s="270"/>
      <c r="KVT3" s="272"/>
      <c r="KVU3" s="270"/>
      <c r="KVV3" s="272"/>
      <c r="KVW3" s="270"/>
      <c r="KVX3" s="272"/>
      <c r="KVY3" s="270"/>
      <c r="KVZ3" s="272"/>
      <c r="KWA3" s="270"/>
      <c r="KWB3" s="272"/>
      <c r="KWC3" s="270"/>
      <c r="KWD3" s="272"/>
      <c r="KWE3" s="270"/>
      <c r="KWF3" s="272"/>
      <c r="KWG3" s="270"/>
      <c r="KWH3" s="272"/>
      <c r="KWI3" s="270"/>
      <c r="KWJ3" s="272"/>
      <c r="KWK3" s="270"/>
      <c r="KWL3" s="272"/>
      <c r="KWM3" s="270"/>
      <c r="KWN3" s="272"/>
      <c r="KWO3" s="270"/>
      <c r="KWP3" s="272"/>
      <c r="KWQ3" s="270"/>
      <c r="KWR3" s="272"/>
      <c r="KWS3" s="270"/>
      <c r="KWT3" s="272"/>
      <c r="KWU3" s="270"/>
      <c r="KWV3" s="272"/>
      <c r="KWW3" s="270"/>
      <c r="KWX3" s="272"/>
      <c r="KWY3" s="270"/>
      <c r="KWZ3" s="272"/>
      <c r="KXA3" s="270"/>
      <c r="KXB3" s="272"/>
      <c r="KXC3" s="270"/>
      <c r="KXD3" s="272"/>
      <c r="KXE3" s="270"/>
      <c r="KXF3" s="272"/>
      <c r="KXG3" s="270"/>
      <c r="KXH3" s="272"/>
      <c r="KXI3" s="270"/>
      <c r="KXJ3" s="272"/>
      <c r="KXK3" s="270"/>
      <c r="KXL3" s="272"/>
      <c r="KXM3" s="270"/>
      <c r="KXN3" s="272"/>
      <c r="KXO3" s="270"/>
      <c r="KXP3" s="272"/>
      <c r="KXQ3" s="270"/>
      <c r="KXR3" s="272"/>
      <c r="KXS3" s="270"/>
      <c r="KXT3" s="272"/>
      <c r="KXU3" s="270"/>
      <c r="KXV3" s="272"/>
      <c r="KXW3" s="270"/>
      <c r="KXX3" s="272"/>
      <c r="KXY3" s="270"/>
      <c r="KXZ3" s="272"/>
      <c r="KYA3" s="270"/>
      <c r="KYB3" s="272"/>
      <c r="KYC3" s="270"/>
      <c r="KYD3" s="272"/>
      <c r="KYE3" s="270"/>
      <c r="KYF3" s="272"/>
      <c r="KYG3" s="270"/>
      <c r="KYH3" s="272"/>
      <c r="KYI3" s="270"/>
      <c r="KYJ3" s="272"/>
      <c r="KYK3" s="270"/>
      <c r="KYL3" s="272"/>
      <c r="KYM3" s="270"/>
      <c r="KYN3" s="272"/>
      <c r="KYO3" s="270"/>
      <c r="KYP3" s="272"/>
      <c r="KYQ3" s="270"/>
      <c r="KYR3" s="272"/>
      <c r="KYS3" s="270"/>
      <c r="KYT3" s="272"/>
      <c r="KYU3" s="270"/>
      <c r="KYV3" s="272"/>
      <c r="KYW3" s="270"/>
      <c r="KYX3" s="272"/>
      <c r="KYY3" s="270"/>
      <c r="KYZ3" s="272"/>
      <c r="KZA3" s="270"/>
      <c r="KZB3" s="272"/>
      <c r="KZC3" s="270"/>
      <c r="KZD3" s="272"/>
      <c r="KZE3" s="270"/>
      <c r="KZF3" s="272"/>
      <c r="KZG3" s="270"/>
      <c r="KZH3" s="272"/>
      <c r="KZI3" s="270"/>
      <c r="KZJ3" s="272"/>
      <c r="KZK3" s="270"/>
      <c r="KZL3" s="272"/>
      <c r="KZM3" s="270"/>
      <c r="KZN3" s="272"/>
      <c r="KZO3" s="270"/>
      <c r="KZP3" s="272"/>
      <c r="KZQ3" s="270"/>
      <c r="KZR3" s="272"/>
      <c r="KZS3" s="270"/>
      <c r="KZT3" s="272"/>
      <c r="KZU3" s="270"/>
      <c r="KZV3" s="272"/>
      <c r="KZW3" s="270"/>
      <c r="KZX3" s="272"/>
      <c r="KZY3" s="270"/>
      <c r="KZZ3" s="272"/>
      <c r="LAA3" s="270"/>
      <c r="LAB3" s="272"/>
      <c r="LAC3" s="270"/>
      <c r="LAD3" s="272"/>
      <c r="LAE3" s="270"/>
      <c r="LAF3" s="272"/>
      <c r="LAG3" s="270"/>
      <c r="LAH3" s="272"/>
      <c r="LAI3" s="270"/>
      <c r="LAJ3" s="272"/>
      <c r="LAK3" s="270"/>
      <c r="LAL3" s="272"/>
      <c r="LAM3" s="270"/>
      <c r="LAN3" s="272"/>
      <c r="LAO3" s="270"/>
      <c r="LAP3" s="272"/>
      <c r="LAQ3" s="270"/>
      <c r="LAR3" s="272"/>
      <c r="LAS3" s="270"/>
      <c r="LAT3" s="272"/>
      <c r="LAU3" s="270"/>
      <c r="LAV3" s="272"/>
      <c r="LAW3" s="270"/>
      <c r="LAX3" s="272"/>
      <c r="LAY3" s="270"/>
      <c r="LAZ3" s="272"/>
      <c r="LBA3" s="270"/>
      <c r="LBB3" s="272"/>
      <c r="LBC3" s="270"/>
      <c r="LBD3" s="272"/>
      <c r="LBE3" s="270"/>
      <c r="LBF3" s="272"/>
      <c r="LBG3" s="270"/>
      <c r="LBH3" s="272"/>
      <c r="LBI3" s="270"/>
      <c r="LBJ3" s="272"/>
      <c r="LBK3" s="270"/>
      <c r="LBL3" s="272"/>
      <c r="LBM3" s="270"/>
      <c r="LBN3" s="272"/>
      <c r="LBO3" s="270"/>
      <c r="LBP3" s="272"/>
      <c r="LBQ3" s="270"/>
      <c r="LBR3" s="272"/>
      <c r="LBS3" s="270"/>
      <c r="LBT3" s="272"/>
      <c r="LBU3" s="270"/>
      <c r="LBV3" s="272"/>
      <c r="LBW3" s="270"/>
      <c r="LBX3" s="272"/>
      <c r="LBY3" s="270"/>
      <c r="LBZ3" s="272"/>
      <c r="LCA3" s="270"/>
      <c r="LCB3" s="272"/>
      <c r="LCC3" s="270"/>
      <c r="LCD3" s="272"/>
      <c r="LCE3" s="270"/>
      <c r="LCF3" s="272"/>
      <c r="LCG3" s="270"/>
      <c r="LCH3" s="272"/>
      <c r="LCI3" s="270"/>
      <c r="LCJ3" s="272"/>
      <c r="LCK3" s="270"/>
      <c r="LCL3" s="272"/>
      <c r="LCM3" s="270"/>
      <c r="LCN3" s="272"/>
      <c r="LCO3" s="270"/>
      <c r="LCP3" s="272"/>
      <c r="LCQ3" s="270"/>
      <c r="LCR3" s="272"/>
      <c r="LCS3" s="270"/>
      <c r="LCT3" s="272"/>
      <c r="LCU3" s="270"/>
      <c r="LCV3" s="272"/>
      <c r="LCW3" s="270"/>
      <c r="LCX3" s="272"/>
      <c r="LCY3" s="270"/>
      <c r="LCZ3" s="272"/>
      <c r="LDA3" s="270"/>
      <c r="LDB3" s="272"/>
      <c r="LDC3" s="270"/>
      <c r="LDD3" s="272"/>
      <c r="LDE3" s="270"/>
      <c r="LDF3" s="272"/>
      <c r="LDG3" s="270"/>
      <c r="LDH3" s="272"/>
      <c r="LDI3" s="270"/>
      <c r="LDJ3" s="272"/>
      <c r="LDK3" s="270"/>
      <c r="LDL3" s="272"/>
      <c r="LDM3" s="270"/>
      <c r="LDN3" s="272"/>
      <c r="LDO3" s="270"/>
      <c r="LDP3" s="272"/>
      <c r="LDQ3" s="270"/>
      <c r="LDR3" s="272"/>
      <c r="LDS3" s="270"/>
      <c r="LDT3" s="272"/>
      <c r="LDU3" s="270"/>
      <c r="LDV3" s="272"/>
      <c r="LDW3" s="270"/>
      <c r="LDX3" s="272"/>
      <c r="LDY3" s="270"/>
      <c r="LDZ3" s="272"/>
      <c r="LEA3" s="270"/>
      <c r="LEB3" s="272"/>
      <c r="LEC3" s="270"/>
      <c r="LED3" s="272"/>
      <c r="LEE3" s="270"/>
      <c r="LEF3" s="272"/>
      <c r="LEG3" s="270"/>
      <c r="LEH3" s="272"/>
      <c r="LEI3" s="270"/>
      <c r="LEJ3" s="272"/>
      <c r="LEK3" s="270"/>
      <c r="LEL3" s="272"/>
      <c r="LEM3" s="270"/>
      <c r="LEN3" s="272"/>
      <c r="LEO3" s="270"/>
      <c r="LEP3" s="272"/>
      <c r="LEQ3" s="270"/>
      <c r="LER3" s="272"/>
      <c r="LES3" s="270"/>
      <c r="LET3" s="272"/>
      <c r="LEU3" s="270"/>
      <c r="LEV3" s="272"/>
      <c r="LEW3" s="270"/>
      <c r="LEX3" s="272"/>
      <c r="LEY3" s="270"/>
      <c r="LEZ3" s="272"/>
      <c r="LFA3" s="270"/>
      <c r="LFB3" s="272"/>
      <c r="LFC3" s="270"/>
      <c r="LFD3" s="272"/>
      <c r="LFE3" s="270"/>
      <c r="LFF3" s="272"/>
      <c r="LFG3" s="270"/>
      <c r="LFH3" s="272"/>
      <c r="LFI3" s="270"/>
      <c r="LFJ3" s="272"/>
      <c r="LFK3" s="270"/>
      <c r="LFL3" s="272"/>
      <c r="LFM3" s="270"/>
      <c r="LFN3" s="272"/>
      <c r="LFO3" s="270"/>
      <c r="LFP3" s="272"/>
      <c r="LFQ3" s="270"/>
      <c r="LFR3" s="272"/>
      <c r="LFS3" s="270"/>
      <c r="LFT3" s="272"/>
      <c r="LFU3" s="270"/>
      <c r="LFV3" s="272"/>
      <c r="LFW3" s="270"/>
      <c r="LFX3" s="272"/>
      <c r="LFY3" s="270"/>
      <c r="LFZ3" s="272"/>
      <c r="LGA3" s="270"/>
      <c r="LGB3" s="272"/>
      <c r="LGC3" s="270"/>
      <c r="LGD3" s="272"/>
      <c r="LGE3" s="270"/>
      <c r="LGF3" s="272"/>
      <c r="LGG3" s="270"/>
      <c r="LGH3" s="272"/>
      <c r="LGI3" s="270"/>
      <c r="LGJ3" s="272"/>
      <c r="LGK3" s="270"/>
      <c r="LGL3" s="272"/>
      <c r="LGM3" s="270"/>
      <c r="LGN3" s="272"/>
      <c r="LGO3" s="270"/>
      <c r="LGP3" s="272"/>
      <c r="LGQ3" s="270"/>
      <c r="LGR3" s="272"/>
      <c r="LGS3" s="270"/>
      <c r="LGT3" s="272"/>
      <c r="LGU3" s="270"/>
      <c r="LGV3" s="272"/>
      <c r="LGW3" s="270"/>
      <c r="LGX3" s="272"/>
      <c r="LGY3" s="270"/>
      <c r="LGZ3" s="272"/>
      <c r="LHA3" s="270"/>
      <c r="LHB3" s="272"/>
      <c r="LHC3" s="270"/>
      <c r="LHD3" s="272"/>
      <c r="LHE3" s="270"/>
      <c r="LHF3" s="272"/>
      <c r="LHG3" s="270"/>
      <c r="LHH3" s="272"/>
      <c r="LHI3" s="270"/>
      <c r="LHJ3" s="272"/>
      <c r="LHK3" s="270"/>
      <c r="LHL3" s="272"/>
      <c r="LHM3" s="270"/>
      <c r="LHN3" s="272"/>
      <c r="LHO3" s="270"/>
      <c r="LHP3" s="272"/>
      <c r="LHQ3" s="270"/>
      <c r="LHR3" s="272"/>
      <c r="LHS3" s="270"/>
      <c r="LHT3" s="272"/>
      <c r="LHU3" s="270"/>
      <c r="LHV3" s="272"/>
      <c r="LHW3" s="270"/>
      <c r="LHX3" s="272"/>
      <c r="LHY3" s="270"/>
      <c r="LHZ3" s="272"/>
      <c r="LIA3" s="270"/>
      <c r="LIB3" s="272"/>
      <c r="LIC3" s="270"/>
      <c r="LID3" s="272"/>
      <c r="LIE3" s="270"/>
      <c r="LIF3" s="272"/>
      <c r="LIG3" s="270"/>
      <c r="LIH3" s="272"/>
      <c r="LII3" s="270"/>
      <c r="LIJ3" s="272"/>
      <c r="LIK3" s="270"/>
      <c r="LIL3" s="272"/>
      <c r="LIM3" s="270"/>
      <c r="LIN3" s="272"/>
      <c r="LIO3" s="270"/>
      <c r="LIP3" s="272"/>
      <c r="LIQ3" s="270"/>
      <c r="LIR3" s="272"/>
      <c r="LIS3" s="270"/>
      <c r="LIT3" s="272"/>
      <c r="LIU3" s="270"/>
      <c r="LIV3" s="272"/>
      <c r="LIW3" s="270"/>
      <c r="LIX3" s="272"/>
      <c r="LIY3" s="270"/>
      <c r="LIZ3" s="272"/>
      <c r="LJA3" s="270"/>
      <c r="LJB3" s="272"/>
      <c r="LJC3" s="270"/>
      <c r="LJD3" s="272"/>
      <c r="LJE3" s="270"/>
      <c r="LJF3" s="272"/>
      <c r="LJG3" s="270"/>
      <c r="LJH3" s="272"/>
      <c r="LJI3" s="270"/>
      <c r="LJJ3" s="272"/>
      <c r="LJK3" s="270"/>
      <c r="LJL3" s="272"/>
      <c r="LJM3" s="270"/>
      <c r="LJN3" s="272"/>
      <c r="LJO3" s="270"/>
      <c r="LJP3" s="272"/>
      <c r="LJQ3" s="270"/>
      <c r="LJR3" s="272"/>
      <c r="LJS3" s="270"/>
      <c r="LJT3" s="272"/>
      <c r="LJU3" s="270"/>
      <c r="LJV3" s="272"/>
      <c r="LJW3" s="270"/>
      <c r="LJX3" s="272"/>
      <c r="LJY3" s="270"/>
      <c r="LJZ3" s="272"/>
      <c r="LKA3" s="270"/>
      <c r="LKB3" s="272"/>
      <c r="LKC3" s="270"/>
      <c r="LKD3" s="272"/>
      <c r="LKE3" s="270"/>
      <c r="LKF3" s="272"/>
      <c r="LKG3" s="270"/>
      <c r="LKH3" s="272"/>
      <c r="LKI3" s="270"/>
      <c r="LKJ3" s="272"/>
      <c r="LKK3" s="270"/>
      <c r="LKL3" s="272"/>
      <c r="LKM3" s="270"/>
      <c r="LKN3" s="272"/>
      <c r="LKO3" s="270"/>
      <c r="LKP3" s="272"/>
      <c r="LKQ3" s="270"/>
      <c r="LKR3" s="272"/>
      <c r="LKS3" s="270"/>
      <c r="LKT3" s="272"/>
      <c r="LKU3" s="270"/>
      <c r="LKV3" s="272"/>
      <c r="LKW3" s="270"/>
      <c r="LKX3" s="272"/>
      <c r="LKY3" s="270"/>
      <c r="LKZ3" s="272"/>
      <c r="LLA3" s="270"/>
      <c r="LLB3" s="272"/>
      <c r="LLC3" s="270"/>
      <c r="LLD3" s="272"/>
      <c r="LLE3" s="270"/>
      <c r="LLF3" s="272"/>
      <c r="LLG3" s="270"/>
      <c r="LLH3" s="272"/>
      <c r="LLI3" s="270"/>
      <c r="LLJ3" s="272"/>
      <c r="LLK3" s="270"/>
      <c r="LLL3" s="272"/>
      <c r="LLM3" s="270"/>
      <c r="LLN3" s="272"/>
      <c r="LLO3" s="270"/>
      <c r="LLP3" s="272"/>
      <c r="LLQ3" s="270"/>
      <c r="LLR3" s="272"/>
      <c r="LLS3" s="270"/>
      <c r="LLT3" s="272"/>
      <c r="LLU3" s="270"/>
      <c r="LLV3" s="272"/>
      <c r="LLW3" s="270"/>
      <c r="LLX3" s="272"/>
      <c r="LLY3" s="270"/>
      <c r="LLZ3" s="272"/>
      <c r="LMA3" s="270"/>
      <c r="LMB3" s="272"/>
      <c r="LMC3" s="270"/>
      <c r="LMD3" s="272"/>
      <c r="LME3" s="270"/>
      <c r="LMF3" s="272"/>
      <c r="LMG3" s="270"/>
      <c r="LMH3" s="272"/>
      <c r="LMI3" s="270"/>
      <c r="LMJ3" s="272"/>
      <c r="LMK3" s="270"/>
      <c r="LML3" s="272"/>
      <c r="LMM3" s="270"/>
      <c r="LMN3" s="272"/>
      <c r="LMO3" s="270"/>
      <c r="LMP3" s="272"/>
      <c r="LMQ3" s="270"/>
      <c r="LMR3" s="272"/>
      <c r="LMS3" s="270"/>
      <c r="LMT3" s="272"/>
      <c r="LMU3" s="270"/>
      <c r="LMV3" s="272"/>
      <c r="LMW3" s="270"/>
      <c r="LMX3" s="272"/>
      <c r="LMY3" s="270"/>
      <c r="LMZ3" s="272"/>
      <c r="LNA3" s="270"/>
      <c r="LNB3" s="272"/>
      <c r="LNC3" s="270"/>
      <c r="LND3" s="272"/>
      <c r="LNE3" s="270"/>
      <c r="LNF3" s="272"/>
      <c r="LNG3" s="270"/>
      <c r="LNH3" s="272"/>
      <c r="LNI3" s="270"/>
      <c r="LNJ3" s="272"/>
      <c r="LNK3" s="270"/>
      <c r="LNL3" s="272"/>
      <c r="LNM3" s="270"/>
      <c r="LNN3" s="272"/>
      <c r="LNO3" s="270"/>
      <c r="LNP3" s="272"/>
      <c r="LNQ3" s="270"/>
      <c r="LNR3" s="272"/>
      <c r="LNS3" s="270"/>
      <c r="LNT3" s="272"/>
      <c r="LNU3" s="270"/>
      <c r="LNV3" s="272"/>
      <c r="LNW3" s="270"/>
      <c r="LNX3" s="272"/>
      <c r="LNY3" s="270"/>
      <c r="LNZ3" s="272"/>
      <c r="LOA3" s="270"/>
      <c r="LOB3" s="272"/>
      <c r="LOC3" s="270"/>
      <c r="LOD3" s="272"/>
      <c r="LOE3" s="270"/>
      <c r="LOF3" s="272"/>
      <c r="LOG3" s="270"/>
      <c r="LOH3" s="272"/>
      <c r="LOI3" s="270"/>
      <c r="LOJ3" s="272"/>
      <c r="LOK3" s="270"/>
      <c r="LOL3" s="272"/>
      <c r="LOM3" s="270"/>
      <c r="LON3" s="272"/>
      <c r="LOO3" s="270"/>
      <c r="LOP3" s="272"/>
      <c r="LOQ3" s="270"/>
      <c r="LOR3" s="272"/>
      <c r="LOS3" s="270"/>
      <c r="LOT3" s="272"/>
      <c r="LOU3" s="270"/>
      <c r="LOV3" s="272"/>
      <c r="LOW3" s="270"/>
      <c r="LOX3" s="272"/>
      <c r="LOY3" s="270"/>
      <c r="LOZ3" s="272"/>
      <c r="LPA3" s="270"/>
      <c r="LPB3" s="272"/>
      <c r="LPC3" s="270"/>
      <c r="LPD3" s="272"/>
      <c r="LPE3" s="270"/>
      <c r="LPF3" s="272"/>
      <c r="LPG3" s="270"/>
      <c r="LPH3" s="272"/>
      <c r="LPI3" s="270"/>
      <c r="LPJ3" s="272"/>
      <c r="LPK3" s="270"/>
      <c r="LPL3" s="272"/>
      <c r="LPM3" s="270"/>
      <c r="LPN3" s="272"/>
      <c r="LPO3" s="270"/>
      <c r="LPP3" s="272"/>
      <c r="LPQ3" s="270"/>
      <c r="LPR3" s="272"/>
      <c r="LPS3" s="270"/>
      <c r="LPT3" s="272"/>
      <c r="LPU3" s="270"/>
      <c r="LPV3" s="272"/>
      <c r="LPW3" s="270"/>
      <c r="LPX3" s="272"/>
      <c r="LPY3" s="270"/>
      <c r="LPZ3" s="272"/>
      <c r="LQA3" s="270"/>
      <c r="LQB3" s="272"/>
      <c r="LQC3" s="270"/>
      <c r="LQD3" s="272"/>
      <c r="LQE3" s="270"/>
      <c r="LQF3" s="272"/>
      <c r="LQG3" s="270"/>
      <c r="LQH3" s="272"/>
      <c r="LQI3" s="270"/>
      <c r="LQJ3" s="272"/>
      <c r="LQK3" s="270"/>
      <c r="LQL3" s="272"/>
      <c r="LQM3" s="270"/>
      <c r="LQN3" s="272"/>
      <c r="LQO3" s="270"/>
      <c r="LQP3" s="272"/>
      <c r="LQQ3" s="270"/>
      <c r="LQR3" s="272"/>
      <c r="LQS3" s="270"/>
      <c r="LQT3" s="272"/>
      <c r="LQU3" s="270"/>
      <c r="LQV3" s="272"/>
      <c r="LQW3" s="270"/>
      <c r="LQX3" s="272"/>
      <c r="LQY3" s="270"/>
      <c r="LQZ3" s="272"/>
      <c r="LRA3" s="270"/>
      <c r="LRB3" s="272"/>
      <c r="LRC3" s="270"/>
      <c r="LRD3" s="272"/>
      <c r="LRE3" s="270"/>
      <c r="LRF3" s="272"/>
      <c r="LRG3" s="270"/>
      <c r="LRH3" s="272"/>
      <c r="LRI3" s="270"/>
      <c r="LRJ3" s="272"/>
      <c r="LRK3" s="270"/>
      <c r="LRL3" s="272"/>
      <c r="LRM3" s="270"/>
      <c r="LRN3" s="272"/>
      <c r="LRO3" s="270"/>
      <c r="LRP3" s="272"/>
      <c r="LRQ3" s="270"/>
      <c r="LRR3" s="272"/>
      <c r="LRS3" s="270"/>
      <c r="LRT3" s="272"/>
      <c r="LRU3" s="270"/>
      <c r="LRV3" s="272"/>
      <c r="LRW3" s="270"/>
      <c r="LRX3" s="272"/>
      <c r="LRY3" s="270"/>
      <c r="LRZ3" s="272"/>
      <c r="LSA3" s="270"/>
      <c r="LSB3" s="272"/>
      <c r="LSC3" s="270"/>
      <c r="LSD3" s="272"/>
      <c r="LSE3" s="270"/>
      <c r="LSF3" s="272"/>
      <c r="LSG3" s="270"/>
      <c r="LSH3" s="272"/>
      <c r="LSI3" s="270"/>
      <c r="LSJ3" s="272"/>
      <c r="LSK3" s="270"/>
      <c r="LSL3" s="272"/>
      <c r="LSM3" s="270"/>
      <c r="LSN3" s="272"/>
      <c r="LSO3" s="270"/>
      <c r="LSP3" s="272"/>
      <c r="LSQ3" s="270"/>
      <c r="LSR3" s="272"/>
      <c r="LSS3" s="270"/>
      <c r="LST3" s="272"/>
      <c r="LSU3" s="270"/>
      <c r="LSV3" s="272"/>
      <c r="LSW3" s="270"/>
      <c r="LSX3" s="272"/>
      <c r="LSY3" s="270"/>
      <c r="LSZ3" s="272"/>
      <c r="LTA3" s="270"/>
      <c r="LTB3" s="272"/>
      <c r="LTC3" s="270"/>
      <c r="LTD3" s="272"/>
      <c r="LTE3" s="270"/>
      <c r="LTF3" s="272"/>
      <c r="LTG3" s="270"/>
      <c r="LTH3" s="272"/>
      <c r="LTI3" s="270"/>
      <c r="LTJ3" s="272"/>
      <c r="LTK3" s="270"/>
      <c r="LTL3" s="272"/>
      <c r="LTM3" s="270"/>
      <c r="LTN3" s="272"/>
      <c r="LTO3" s="270"/>
      <c r="LTP3" s="272"/>
      <c r="LTQ3" s="270"/>
      <c r="LTR3" s="272"/>
      <c r="LTS3" s="270"/>
      <c r="LTT3" s="272"/>
      <c r="LTU3" s="270"/>
      <c r="LTV3" s="272"/>
      <c r="LTW3" s="270"/>
      <c r="LTX3" s="272"/>
      <c r="LTY3" s="270"/>
      <c r="LTZ3" s="272"/>
      <c r="LUA3" s="270"/>
      <c r="LUB3" s="272"/>
      <c r="LUC3" s="270"/>
      <c r="LUD3" s="272"/>
      <c r="LUE3" s="270"/>
      <c r="LUF3" s="272"/>
      <c r="LUG3" s="270"/>
      <c r="LUH3" s="272"/>
      <c r="LUI3" s="270"/>
      <c r="LUJ3" s="272"/>
      <c r="LUK3" s="270"/>
      <c r="LUL3" s="272"/>
      <c r="LUM3" s="270"/>
      <c r="LUN3" s="272"/>
      <c r="LUO3" s="270"/>
      <c r="LUP3" s="272"/>
      <c r="LUQ3" s="270"/>
      <c r="LUR3" s="272"/>
      <c r="LUS3" s="270"/>
      <c r="LUT3" s="272"/>
      <c r="LUU3" s="270"/>
      <c r="LUV3" s="272"/>
      <c r="LUW3" s="270"/>
      <c r="LUX3" s="272"/>
      <c r="LUY3" s="270"/>
      <c r="LUZ3" s="272"/>
      <c r="LVA3" s="270"/>
      <c r="LVB3" s="272"/>
      <c r="LVC3" s="270"/>
      <c r="LVD3" s="272"/>
      <c r="LVE3" s="270"/>
      <c r="LVF3" s="272"/>
      <c r="LVG3" s="270"/>
      <c r="LVH3" s="272"/>
      <c r="LVI3" s="270"/>
      <c r="LVJ3" s="272"/>
      <c r="LVK3" s="270"/>
      <c r="LVL3" s="272"/>
      <c r="LVM3" s="270"/>
      <c r="LVN3" s="272"/>
      <c r="LVO3" s="270"/>
      <c r="LVP3" s="272"/>
      <c r="LVQ3" s="270"/>
      <c r="LVR3" s="272"/>
      <c r="LVS3" s="270"/>
      <c r="LVT3" s="272"/>
      <c r="LVU3" s="270"/>
      <c r="LVV3" s="272"/>
      <c r="LVW3" s="270"/>
      <c r="LVX3" s="272"/>
      <c r="LVY3" s="270"/>
      <c r="LVZ3" s="272"/>
      <c r="LWA3" s="270"/>
      <c r="LWB3" s="272"/>
      <c r="LWC3" s="270"/>
      <c r="LWD3" s="272"/>
      <c r="LWE3" s="270"/>
      <c r="LWF3" s="272"/>
      <c r="LWG3" s="270"/>
      <c r="LWH3" s="272"/>
      <c r="LWI3" s="270"/>
      <c r="LWJ3" s="272"/>
      <c r="LWK3" s="270"/>
      <c r="LWL3" s="272"/>
      <c r="LWM3" s="270"/>
      <c r="LWN3" s="272"/>
      <c r="LWO3" s="270"/>
      <c r="LWP3" s="272"/>
      <c r="LWQ3" s="270"/>
      <c r="LWR3" s="272"/>
      <c r="LWS3" s="270"/>
      <c r="LWT3" s="272"/>
      <c r="LWU3" s="270"/>
      <c r="LWV3" s="272"/>
      <c r="LWW3" s="270"/>
      <c r="LWX3" s="272"/>
      <c r="LWY3" s="270"/>
      <c r="LWZ3" s="272"/>
      <c r="LXA3" s="270"/>
      <c r="LXB3" s="272"/>
      <c r="LXC3" s="270"/>
      <c r="LXD3" s="272"/>
      <c r="LXE3" s="270"/>
      <c r="LXF3" s="272"/>
      <c r="LXG3" s="270"/>
      <c r="LXH3" s="272"/>
      <c r="LXI3" s="270"/>
      <c r="LXJ3" s="272"/>
      <c r="LXK3" s="270"/>
      <c r="LXL3" s="272"/>
      <c r="LXM3" s="270"/>
      <c r="LXN3" s="272"/>
      <c r="LXO3" s="270"/>
      <c r="LXP3" s="272"/>
      <c r="LXQ3" s="270"/>
      <c r="LXR3" s="272"/>
      <c r="LXS3" s="270"/>
      <c r="LXT3" s="272"/>
      <c r="LXU3" s="270"/>
      <c r="LXV3" s="272"/>
      <c r="LXW3" s="270"/>
      <c r="LXX3" s="272"/>
      <c r="LXY3" s="270"/>
      <c r="LXZ3" s="272"/>
      <c r="LYA3" s="270"/>
      <c r="LYB3" s="272"/>
      <c r="LYC3" s="270"/>
      <c r="LYD3" s="272"/>
      <c r="LYE3" s="270"/>
      <c r="LYF3" s="272"/>
      <c r="LYG3" s="270"/>
      <c r="LYH3" s="272"/>
      <c r="LYI3" s="270"/>
      <c r="LYJ3" s="272"/>
      <c r="LYK3" s="270"/>
      <c r="LYL3" s="272"/>
      <c r="LYM3" s="270"/>
      <c r="LYN3" s="272"/>
      <c r="LYO3" s="270"/>
      <c r="LYP3" s="272"/>
      <c r="LYQ3" s="270"/>
      <c r="LYR3" s="272"/>
      <c r="LYS3" s="270"/>
      <c r="LYT3" s="272"/>
      <c r="LYU3" s="270"/>
      <c r="LYV3" s="272"/>
      <c r="LYW3" s="270"/>
      <c r="LYX3" s="272"/>
      <c r="LYY3" s="270"/>
      <c r="LYZ3" s="272"/>
      <c r="LZA3" s="270"/>
      <c r="LZB3" s="272"/>
      <c r="LZC3" s="270"/>
      <c r="LZD3" s="272"/>
      <c r="LZE3" s="270"/>
      <c r="LZF3" s="272"/>
      <c r="LZG3" s="270"/>
      <c r="LZH3" s="272"/>
      <c r="LZI3" s="270"/>
      <c r="LZJ3" s="272"/>
      <c r="LZK3" s="270"/>
      <c r="LZL3" s="272"/>
      <c r="LZM3" s="270"/>
      <c r="LZN3" s="272"/>
      <c r="LZO3" s="270"/>
      <c r="LZP3" s="272"/>
      <c r="LZQ3" s="270"/>
      <c r="LZR3" s="272"/>
      <c r="LZS3" s="270"/>
      <c r="LZT3" s="272"/>
      <c r="LZU3" s="270"/>
      <c r="LZV3" s="272"/>
      <c r="LZW3" s="270"/>
      <c r="LZX3" s="272"/>
      <c r="LZY3" s="270"/>
      <c r="LZZ3" s="272"/>
      <c r="MAA3" s="270"/>
      <c r="MAB3" s="272"/>
      <c r="MAC3" s="270"/>
      <c r="MAD3" s="272"/>
      <c r="MAE3" s="270"/>
      <c r="MAF3" s="272"/>
      <c r="MAG3" s="270"/>
      <c r="MAH3" s="272"/>
      <c r="MAI3" s="270"/>
      <c r="MAJ3" s="272"/>
      <c r="MAK3" s="270"/>
      <c r="MAL3" s="272"/>
      <c r="MAM3" s="270"/>
      <c r="MAN3" s="272"/>
      <c r="MAO3" s="270"/>
      <c r="MAP3" s="272"/>
      <c r="MAQ3" s="270"/>
      <c r="MAR3" s="272"/>
      <c r="MAS3" s="270"/>
      <c r="MAT3" s="272"/>
      <c r="MAU3" s="270"/>
      <c r="MAV3" s="272"/>
      <c r="MAW3" s="270"/>
      <c r="MAX3" s="272"/>
      <c r="MAY3" s="270"/>
      <c r="MAZ3" s="272"/>
      <c r="MBA3" s="270"/>
      <c r="MBB3" s="272"/>
      <c r="MBC3" s="270"/>
      <c r="MBD3" s="272"/>
      <c r="MBE3" s="270"/>
      <c r="MBF3" s="272"/>
      <c r="MBG3" s="270"/>
      <c r="MBH3" s="272"/>
      <c r="MBI3" s="270"/>
      <c r="MBJ3" s="272"/>
      <c r="MBK3" s="270"/>
      <c r="MBL3" s="272"/>
      <c r="MBM3" s="270"/>
      <c r="MBN3" s="272"/>
      <c r="MBO3" s="270"/>
      <c r="MBP3" s="272"/>
      <c r="MBQ3" s="270"/>
      <c r="MBR3" s="272"/>
      <c r="MBS3" s="270"/>
      <c r="MBT3" s="272"/>
      <c r="MBU3" s="270"/>
      <c r="MBV3" s="272"/>
      <c r="MBW3" s="270"/>
      <c r="MBX3" s="272"/>
      <c r="MBY3" s="270"/>
      <c r="MBZ3" s="272"/>
      <c r="MCA3" s="270"/>
      <c r="MCB3" s="272"/>
      <c r="MCC3" s="270"/>
      <c r="MCD3" s="272"/>
      <c r="MCE3" s="270"/>
      <c r="MCF3" s="272"/>
      <c r="MCG3" s="270"/>
      <c r="MCH3" s="272"/>
      <c r="MCI3" s="270"/>
      <c r="MCJ3" s="272"/>
      <c r="MCK3" s="270"/>
      <c r="MCL3" s="272"/>
      <c r="MCM3" s="270"/>
      <c r="MCN3" s="272"/>
      <c r="MCO3" s="270"/>
      <c r="MCP3" s="272"/>
      <c r="MCQ3" s="270"/>
      <c r="MCR3" s="272"/>
      <c r="MCS3" s="270"/>
      <c r="MCT3" s="272"/>
      <c r="MCU3" s="270"/>
      <c r="MCV3" s="272"/>
      <c r="MCW3" s="270"/>
      <c r="MCX3" s="272"/>
      <c r="MCY3" s="270"/>
      <c r="MCZ3" s="272"/>
      <c r="MDA3" s="270"/>
      <c r="MDB3" s="272"/>
      <c r="MDC3" s="270"/>
      <c r="MDD3" s="272"/>
      <c r="MDE3" s="270"/>
      <c r="MDF3" s="272"/>
      <c r="MDG3" s="270"/>
      <c r="MDH3" s="272"/>
      <c r="MDI3" s="270"/>
      <c r="MDJ3" s="272"/>
      <c r="MDK3" s="270"/>
      <c r="MDL3" s="272"/>
      <c r="MDM3" s="270"/>
      <c r="MDN3" s="272"/>
      <c r="MDO3" s="270"/>
      <c r="MDP3" s="272"/>
      <c r="MDQ3" s="270"/>
      <c r="MDR3" s="272"/>
      <c r="MDS3" s="270"/>
      <c r="MDT3" s="272"/>
      <c r="MDU3" s="270"/>
      <c r="MDV3" s="272"/>
      <c r="MDW3" s="270"/>
      <c r="MDX3" s="272"/>
      <c r="MDY3" s="270"/>
      <c r="MDZ3" s="272"/>
      <c r="MEA3" s="270"/>
      <c r="MEB3" s="272"/>
      <c r="MEC3" s="270"/>
      <c r="MED3" s="272"/>
      <c r="MEE3" s="270"/>
      <c r="MEF3" s="272"/>
      <c r="MEG3" s="270"/>
      <c r="MEH3" s="272"/>
      <c r="MEI3" s="270"/>
      <c r="MEJ3" s="272"/>
      <c r="MEK3" s="270"/>
      <c r="MEL3" s="272"/>
      <c r="MEM3" s="270"/>
      <c r="MEN3" s="272"/>
      <c r="MEO3" s="270"/>
      <c r="MEP3" s="272"/>
      <c r="MEQ3" s="270"/>
      <c r="MER3" s="272"/>
      <c r="MES3" s="270"/>
      <c r="MET3" s="272"/>
      <c r="MEU3" s="270"/>
      <c r="MEV3" s="272"/>
      <c r="MEW3" s="270"/>
      <c r="MEX3" s="272"/>
      <c r="MEY3" s="270"/>
      <c r="MEZ3" s="272"/>
      <c r="MFA3" s="270"/>
      <c r="MFB3" s="272"/>
      <c r="MFC3" s="270"/>
      <c r="MFD3" s="272"/>
      <c r="MFE3" s="270"/>
      <c r="MFF3" s="272"/>
      <c r="MFG3" s="270"/>
      <c r="MFH3" s="272"/>
      <c r="MFI3" s="270"/>
      <c r="MFJ3" s="272"/>
      <c r="MFK3" s="270"/>
      <c r="MFL3" s="272"/>
      <c r="MFM3" s="270"/>
      <c r="MFN3" s="272"/>
      <c r="MFO3" s="270"/>
      <c r="MFP3" s="272"/>
      <c r="MFQ3" s="270"/>
      <c r="MFR3" s="272"/>
      <c r="MFS3" s="270"/>
      <c r="MFT3" s="272"/>
      <c r="MFU3" s="270"/>
      <c r="MFV3" s="272"/>
      <c r="MFW3" s="270"/>
      <c r="MFX3" s="272"/>
      <c r="MFY3" s="270"/>
      <c r="MFZ3" s="272"/>
      <c r="MGA3" s="270"/>
      <c r="MGB3" s="272"/>
      <c r="MGC3" s="270"/>
      <c r="MGD3" s="272"/>
      <c r="MGE3" s="270"/>
      <c r="MGF3" s="272"/>
      <c r="MGG3" s="270"/>
      <c r="MGH3" s="272"/>
      <c r="MGI3" s="270"/>
      <c r="MGJ3" s="272"/>
      <c r="MGK3" s="270"/>
      <c r="MGL3" s="272"/>
      <c r="MGM3" s="270"/>
      <c r="MGN3" s="272"/>
      <c r="MGO3" s="270"/>
      <c r="MGP3" s="272"/>
      <c r="MGQ3" s="270"/>
      <c r="MGR3" s="272"/>
      <c r="MGS3" s="270"/>
      <c r="MGT3" s="272"/>
      <c r="MGU3" s="270"/>
      <c r="MGV3" s="272"/>
      <c r="MGW3" s="270"/>
      <c r="MGX3" s="272"/>
      <c r="MGY3" s="270"/>
      <c r="MGZ3" s="272"/>
      <c r="MHA3" s="270"/>
      <c r="MHB3" s="272"/>
      <c r="MHC3" s="270"/>
      <c r="MHD3" s="272"/>
      <c r="MHE3" s="270"/>
      <c r="MHF3" s="272"/>
      <c r="MHG3" s="270"/>
      <c r="MHH3" s="272"/>
      <c r="MHI3" s="270"/>
      <c r="MHJ3" s="272"/>
      <c r="MHK3" s="270"/>
      <c r="MHL3" s="272"/>
      <c r="MHM3" s="270"/>
      <c r="MHN3" s="272"/>
      <c r="MHO3" s="270"/>
      <c r="MHP3" s="272"/>
      <c r="MHQ3" s="270"/>
      <c r="MHR3" s="272"/>
      <c r="MHS3" s="270"/>
      <c r="MHT3" s="272"/>
      <c r="MHU3" s="270"/>
      <c r="MHV3" s="272"/>
      <c r="MHW3" s="270"/>
      <c r="MHX3" s="272"/>
      <c r="MHY3" s="270"/>
      <c r="MHZ3" s="272"/>
      <c r="MIA3" s="270"/>
      <c r="MIB3" s="272"/>
      <c r="MIC3" s="270"/>
      <c r="MID3" s="272"/>
      <c r="MIE3" s="270"/>
      <c r="MIF3" s="272"/>
      <c r="MIG3" s="270"/>
      <c r="MIH3" s="272"/>
      <c r="MII3" s="270"/>
      <c r="MIJ3" s="272"/>
      <c r="MIK3" s="270"/>
      <c r="MIL3" s="272"/>
      <c r="MIM3" s="270"/>
      <c r="MIN3" s="272"/>
      <c r="MIO3" s="270"/>
      <c r="MIP3" s="272"/>
      <c r="MIQ3" s="270"/>
      <c r="MIR3" s="272"/>
      <c r="MIS3" s="270"/>
      <c r="MIT3" s="272"/>
      <c r="MIU3" s="270"/>
      <c r="MIV3" s="272"/>
      <c r="MIW3" s="270"/>
      <c r="MIX3" s="272"/>
      <c r="MIY3" s="270"/>
      <c r="MIZ3" s="272"/>
      <c r="MJA3" s="270"/>
      <c r="MJB3" s="272"/>
      <c r="MJC3" s="270"/>
      <c r="MJD3" s="272"/>
      <c r="MJE3" s="270"/>
      <c r="MJF3" s="272"/>
      <c r="MJG3" s="270"/>
      <c r="MJH3" s="272"/>
      <c r="MJI3" s="270"/>
      <c r="MJJ3" s="272"/>
      <c r="MJK3" s="270"/>
      <c r="MJL3" s="272"/>
      <c r="MJM3" s="270"/>
      <c r="MJN3" s="272"/>
      <c r="MJO3" s="270"/>
      <c r="MJP3" s="272"/>
      <c r="MJQ3" s="270"/>
      <c r="MJR3" s="272"/>
      <c r="MJS3" s="270"/>
      <c r="MJT3" s="272"/>
      <c r="MJU3" s="270"/>
      <c r="MJV3" s="272"/>
      <c r="MJW3" s="270"/>
      <c r="MJX3" s="272"/>
      <c r="MJY3" s="270"/>
      <c r="MJZ3" s="272"/>
      <c r="MKA3" s="270"/>
      <c r="MKB3" s="272"/>
      <c r="MKC3" s="270"/>
      <c r="MKD3" s="272"/>
      <c r="MKE3" s="270"/>
      <c r="MKF3" s="272"/>
      <c r="MKG3" s="270"/>
      <c r="MKH3" s="272"/>
      <c r="MKI3" s="270"/>
      <c r="MKJ3" s="272"/>
      <c r="MKK3" s="270"/>
      <c r="MKL3" s="272"/>
      <c r="MKM3" s="270"/>
      <c r="MKN3" s="272"/>
      <c r="MKO3" s="270"/>
      <c r="MKP3" s="272"/>
      <c r="MKQ3" s="270"/>
      <c r="MKR3" s="272"/>
      <c r="MKS3" s="270"/>
      <c r="MKT3" s="272"/>
      <c r="MKU3" s="270"/>
      <c r="MKV3" s="272"/>
      <c r="MKW3" s="270"/>
      <c r="MKX3" s="272"/>
      <c r="MKY3" s="270"/>
      <c r="MKZ3" s="272"/>
      <c r="MLA3" s="270"/>
      <c r="MLB3" s="272"/>
      <c r="MLC3" s="270"/>
      <c r="MLD3" s="272"/>
      <c r="MLE3" s="270"/>
      <c r="MLF3" s="272"/>
      <c r="MLG3" s="270"/>
      <c r="MLH3" s="272"/>
      <c r="MLI3" s="270"/>
      <c r="MLJ3" s="272"/>
      <c r="MLK3" s="270"/>
      <c r="MLL3" s="272"/>
      <c r="MLM3" s="270"/>
      <c r="MLN3" s="272"/>
      <c r="MLO3" s="270"/>
      <c r="MLP3" s="272"/>
      <c r="MLQ3" s="270"/>
      <c r="MLR3" s="272"/>
      <c r="MLS3" s="270"/>
      <c r="MLT3" s="272"/>
      <c r="MLU3" s="270"/>
      <c r="MLV3" s="272"/>
      <c r="MLW3" s="270"/>
      <c r="MLX3" s="272"/>
      <c r="MLY3" s="270"/>
      <c r="MLZ3" s="272"/>
      <c r="MMA3" s="270"/>
      <c r="MMB3" s="272"/>
      <c r="MMC3" s="270"/>
      <c r="MMD3" s="272"/>
      <c r="MME3" s="270"/>
      <c r="MMF3" s="272"/>
      <c r="MMG3" s="270"/>
      <c r="MMH3" s="272"/>
      <c r="MMI3" s="270"/>
      <c r="MMJ3" s="272"/>
      <c r="MMK3" s="270"/>
      <c r="MML3" s="272"/>
      <c r="MMM3" s="270"/>
      <c r="MMN3" s="272"/>
      <c r="MMO3" s="270"/>
      <c r="MMP3" s="272"/>
      <c r="MMQ3" s="270"/>
      <c r="MMR3" s="272"/>
      <c r="MMS3" s="270"/>
      <c r="MMT3" s="272"/>
      <c r="MMU3" s="270"/>
      <c r="MMV3" s="272"/>
      <c r="MMW3" s="270"/>
      <c r="MMX3" s="272"/>
      <c r="MMY3" s="270"/>
      <c r="MMZ3" s="272"/>
      <c r="MNA3" s="270"/>
      <c r="MNB3" s="272"/>
      <c r="MNC3" s="270"/>
      <c r="MND3" s="272"/>
      <c r="MNE3" s="270"/>
      <c r="MNF3" s="272"/>
      <c r="MNG3" s="270"/>
      <c r="MNH3" s="272"/>
      <c r="MNI3" s="270"/>
      <c r="MNJ3" s="272"/>
      <c r="MNK3" s="270"/>
      <c r="MNL3" s="272"/>
      <c r="MNM3" s="270"/>
      <c r="MNN3" s="272"/>
      <c r="MNO3" s="270"/>
      <c r="MNP3" s="272"/>
      <c r="MNQ3" s="270"/>
      <c r="MNR3" s="272"/>
      <c r="MNS3" s="270"/>
      <c r="MNT3" s="272"/>
      <c r="MNU3" s="270"/>
      <c r="MNV3" s="272"/>
      <c r="MNW3" s="270"/>
      <c r="MNX3" s="272"/>
      <c r="MNY3" s="270"/>
      <c r="MNZ3" s="272"/>
      <c r="MOA3" s="270"/>
      <c r="MOB3" s="272"/>
      <c r="MOC3" s="270"/>
      <c r="MOD3" s="272"/>
      <c r="MOE3" s="270"/>
      <c r="MOF3" s="272"/>
      <c r="MOG3" s="270"/>
      <c r="MOH3" s="272"/>
      <c r="MOI3" s="270"/>
      <c r="MOJ3" s="272"/>
      <c r="MOK3" s="270"/>
      <c r="MOL3" s="272"/>
      <c r="MOM3" s="270"/>
      <c r="MON3" s="272"/>
      <c r="MOO3" s="270"/>
      <c r="MOP3" s="272"/>
      <c r="MOQ3" s="270"/>
      <c r="MOR3" s="272"/>
      <c r="MOS3" s="270"/>
      <c r="MOT3" s="272"/>
      <c r="MOU3" s="270"/>
      <c r="MOV3" s="272"/>
      <c r="MOW3" s="270"/>
      <c r="MOX3" s="272"/>
      <c r="MOY3" s="270"/>
      <c r="MOZ3" s="272"/>
      <c r="MPA3" s="270"/>
      <c r="MPB3" s="272"/>
      <c r="MPC3" s="270"/>
      <c r="MPD3" s="272"/>
      <c r="MPE3" s="270"/>
      <c r="MPF3" s="272"/>
      <c r="MPG3" s="270"/>
      <c r="MPH3" s="272"/>
      <c r="MPI3" s="270"/>
      <c r="MPJ3" s="272"/>
      <c r="MPK3" s="270"/>
      <c r="MPL3" s="272"/>
      <c r="MPM3" s="270"/>
      <c r="MPN3" s="272"/>
      <c r="MPO3" s="270"/>
      <c r="MPP3" s="272"/>
      <c r="MPQ3" s="270"/>
      <c r="MPR3" s="272"/>
      <c r="MPS3" s="270"/>
      <c r="MPT3" s="272"/>
      <c r="MPU3" s="270"/>
      <c r="MPV3" s="272"/>
      <c r="MPW3" s="270"/>
      <c r="MPX3" s="272"/>
      <c r="MPY3" s="270"/>
      <c r="MPZ3" s="272"/>
      <c r="MQA3" s="270"/>
      <c r="MQB3" s="272"/>
      <c r="MQC3" s="270"/>
      <c r="MQD3" s="272"/>
      <c r="MQE3" s="270"/>
      <c r="MQF3" s="272"/>
      <c r="MQG3" s="270"/>
      <c r="MQH3" s="272"/>
      <c r="MQI3" s="270"/>
      <c r="MQJ3" s="272"/>
      <c r="MQK3" s="270"/>
      <c r="MQL3" s="272"/>
      <c r="MQM3" s="270"/>
      <c r="MQN3" s="272"/>
      <c r="MQO3" s="270"/>
      <c r="MQP3" s="272"/>
      <c r="MQQ3" s="270"/>
      <c r="MQR3" s="272"/>
      <c r="MQS3" s="270"/>
      <c r="MQT3" s="272"/>
      <c r="MQU3" s="270"/>
      <c r="MQV3" s="272"/>
      <c r="MQW3" s="270"/>
      <c r="MQX3" s="272"/>
      <c r="MQY3" s="270"/>
      <c r="MQZ3" s="272"/>
      <c r="MRA3" s="270"/>
      <c r="MRB3" s="272"/>
      <c r="MRC3" s="270"/>
      <c r="MRD3" s="272"/>
      <c r="MRE3" s="270"/>
      <c r="MRF3" s="272"/>
      <c r="MRG3" s="270"/>
      <c r="MRH3" s="272"/>
      <c r="MRI3" s="270"/>
      <c r="MRJ3" s="272"/>
      <c r="MRK3" s="270"/>
      <c r="MRL3" s="272"/>
      <c r="MRM3" s="270"/>
      <c r="MRN3" s="272"/>
      <c r="MRO3" s="270"/>
      <c r="MRP3" s="272"/>
      <c r="MRQ3" s="270"/>
      <c r="MRR3" s="272"/>
      <c r="MRS3" s="270"/>
      <c r="MRT3" s="272"/>
      <c r="MRU3" s="270"/>
      <c r="MRV3" s="272"/>
      <c r="MRW3" s="270"/>
      <c r="MRX3" s="272"/>
      <c r="MRY3" s="270"/>
      <c r="MRZ3" s="272"/>
      <c r="MSA3" s="270"/>
      <c r="MSB3" s="272"/>
      <c r="MSC3" s="270"/>
      <c r="MSD3" s="272"/>
      <c r="MSE3" s="270"/>
      <c r="MSF3" s="272"/>
      <c r="MSG3" s="270"/>
      <c r="MSH3" s="272"/>
      <c r="MSI3" s="270"/>
      <c r="MSJ3" s="272"/>
      <c r="MSK3" s="270"/>
      <c r="MSL3" s="272"/>
      <c r="MSM3" s="270"/>
      <c r="MSN3" s="272"/>
      <c r="MSO3" s="270"/>
      <c r="MSP3" s="272"/>
      <c r="MSQ3" s="270"/>
      <c r="MSR3" s="272"/>
      <c r="MSS3" s="270"/>
      <c r="MST3" s="272"/>
      <c r="MSU3" s="270"/>
      <c r="MSV3" s="272"/>
      <c r="MSW3" s="270"/>
      <c r="MSX3" s="272"/>
      <c r="MSY3" s="270"/>
      <c r="MSZ3" s="272"/>
      <c r="MTA3" s="270"/>
      <c r="MTB3" s="272"/>
      <c r="MTC3" s="270"/>
      <c r="MTD3" s="272"/>
      <c r="MTE3" s="270"/>
      <c r="MTF3" s="272"/>
      <c r="MTG3" s="270"/>
      <c r="MTH3" s="272"/>
      <c r="MTI3" s="270"/>
      <c r="MTJ3" s="272"/>
      <c r="MTK3" s="270"/>
      <c r="MTL3" s="272"/>
      <c r="MTM3" s="270"/>
      <c r="MTN3" s="272"/>
      <c r="MTO3" s="270"/>
      <c r="MTP3" s="272"/>
      <c r="MTQ3" s="270"/>
      <c r="MTR3" s="272"/>
      <c r="MTS3" s="270"/>
      <c r="MTT3" s="272"/>
      <c r="MTU3" s="270"/>
      <c r="MTV3" s="272"/>
      <c r="MTW3" s="270"/>
      <c r="MTX3" s="272"/>
      <c r="MTY3" s="270"/>
      <c r="MTZ3" s="272"/>
      <c r="MUA3" s="270"/>
      <c r="MUB3" s="272"/>
      <c r="MUC3" s="270"/>
      <c r="MUD3" s="272"/>
      <c r="MUE3" s="270"/>
      <c r="MUF3" s="272"/>
      <c r="MUG3" s="270"/>
      <c r="MUH3" s="272"/>
      <c r="MUI3" s="270"/>
      <c r="MUJ3" s="272"/>
      <c r="MUK3" s="270"/>
      <c r="MUL3" s="272"/>
      <c r="MUM3" s="270"/>
      <c r="MUN3" s="272"/>
      <c r="MUO3" s="270"/>
      <c r="MUP3" s="272"/>
      <c r="MUQ3" s="270"/>
      <c r="MUR3" s="272"/>
      <c r="MUS3" s="270"/>
      <c r="MUT3" s="272"/>
      <c r="MUU3" s="270"/>
      <c r="MUV3" s="272"/>
      <c r="MUW3" s="270"/>
      <c r="MUX3" s="272"/>
      <c r="MUY3" s="270"/>
      <c r="MUZ3" s="272"/>
      <c r="MVA3" s="270"/>
      <c r="MVB3" s="272"/>
      <c r="MVC3" s="270"/>
      <c r="MVD3" s="272"/>
      <c r="MVE3" s="270"/>
      <c r="MVF3" s="272"/>
      <c r="MVG3" s="270"/>
      <c r="MVH3" s="272"/>
      <c r="MVI3" s="270"/>
      <c r="MVJ3" s="272"/>
      <c r="MVK3" s="270"/>
      <c r="MVL3" s="272"/>
      <c r="MVM3" s="270"/>
      <c r="MVN3" s="272"/>
      <c r="MVO3" s="270"/>
      <c r="MVP3" s="272"/>
      <c r="MVQ3" s="270"/>
      <c r="MVR3" s="272"/>
      <c r="MVS3" s="270"/>
      <c r="MVT3" s="272"/>
      <c r="MVU3" s="270"/>
      <c r="MVV3" s="272"/>
      <c r="MVW3" s="270"/>
      <c r="MVX3" s="272"/>
      <c r="MVY3" s="270"/>
      <c r="MVZ3" s="272"/>
      <c r="MWA3" s="270"/>
      <c r="MWB3" s="272"/>
      <c r="MWC3" s="270"/>
      <c r="MWD3" s="272"/>
      <c r="MWE3" s="270"/>
      <c r="MWF3" s="272"/>
      <c r="MWG3" s="270"/>
      <c r="MWH3" s="272"/>
      <c r="MWI3" s="270"/>
      <c r="MWJ3" s="272"/>
      <c r="MWK3" s="270"/>
      <c r="MWL3" s="272"/>
      <c r="MWM3" s="270"/>
      <c r="MWN3" s="272"/>
      <c r="MWO3" s="270"/>
      <c r="MWP3" s="272"/>
      <c r="MWQ3" s="270"/>
      <c r="MWR3" s="272"/>
      <c r="MWS3" s="270"/>
      <c r="MWT3" s="272"/>
      <c r="MWU3" s="270"/>
      <c r="MWV3" s="272"/>
      <c r="MWW3" s="270"/>
      <c r="MWX3" s="272"/>
      <c r="MWY3" s="270"/>
      <c r="MWZ3" s="272"/>
      <c r="MXA3" s="270"/>
      <c r="MXB3" s="272"/>
      <c r="MXC3" s="270"/>
      <c r="MXD3" s="272"/>
      <c r="MXE3" s="270"/>
      <c r="MXF3" s="272"/>
      <c r="MXG3" s="270"/>
      <c r="MXH3" s="272"/>
      <c r="MXI3" s="270"/>
      <c r="MXJ3" s="272"/>
      <c r="MXK3" s="270"/>
      <c r="MXL3" s="272"/>
      <c r="MXM3" s="270"/>
      <c r="MXN3" s="272"/>
      <c r="MXO3" s="270"/>
      <c r="MXP3" s="272"/>
      <c r="MXQ3" s="270"/>
      <c r="MXR3" s="272"/>
      <c r="MXS3" s="270"/>
      <c r="MXT3" s="272"/>
      <c r="MXU3" s="270"/>
      <c r="MXV3" s="272"/>
      <c r="MXW3" s="270"/>
      <c r="MXX3" s="272"/>
      <c r="MXY3" s="270"/>
      <c r="MXZ3" s="272"/>
      <c r="MYA3" s="270"/>
      <c r="MYB3" s="272"/>
      <c r="MYC3" s="270"/>
      <c r="MYD3" s="272"/>
      <c r="MYE3" s="270"/>
      <c r="MYF3" s="272"/>
      <c r="MYG3" s="270"/>
      <c r="MYH3" s="272"/>
      <c r="MYI3" s="270"/>
      <c r="MYJ3" s="272"/>
      <c r="MYK3" s="270"/>
      <c r="MYL3" s="272"/>
      <c r="MYM3" s="270"/>
      <c r="MYN3" s="272"/>
      <c r="MYO3" s="270"/>
      <c r="MYP3" s="272"/>
      <c r="MYQ3" s="270"/>
      <c r="MYR3" s="272"/>
      <c r="MYS3" s="270"/>
      <c r="MYT3" s="272"/>
      <c r="MYU3" s="270"/>
      <c r="MYV3" s="272"/>
      <c r="MYW3" s="270"/>
      <c r="MYX3" s="272"/>
      <c r="MYY3" s="270"/>
      <c r="MYZ3" s="272"/>
      <c r="MZA3" s="270"/>
      <c r="MZB3" s="272"/>
      <c r="MZC3" s="270"/>
      <c r="MZD3" s="272"/>
      <c r="MZE3" s="270"/>
      <c r="MZF3" s="272"/>
      <c r="MZG3" s="270"/>
      <c r="MZH3" s="272"/>
      <c r="MZI3" s="270"/>
      <c r="MZJ3" s="272"/>
      <c r="MZK3" s="270"/>
      <c r="MZL3" s="272"/>
      <c r="MZM3" s="270"/>
      <c r="MZN3" s="272"/>
      <c r="MZO3" s="270"/>
      <c r="MZP3" s="272"/>
      <c r="MZQ3" s="270"/>
      <c r="MZR3" s="272"/>
      <c r="MZS3" s="270"/>
      <c r="MZT3" s="272"/>
      <c r="MZU3" s="270"/>
      <c r="MZV3" s="272"/>
      <c r="MZW3" s="270"/>
      <c r="MZX3" s="272"/>
      <c r="MZY3" s="270"/>
      <c r="MZZ3" s="272"/>
      <c r="NAA3" s="270"/>
      <c r="NAB3" s="272"/>
      <c r="NAC3" s="270"/>
      <c r="NAD3" s="272"/>
      <c r="NAE3" s="270"/>
      <c r="NAF3" s="272"/>
      <c r="NAG3" s="270"/>
      <c r="NAH3" s="272"/>
      <c r="NAI3" s="270"/>
      <c r="NAJ3" s="272"/>
      <c r="NAK3" s="270"/>
      <c r="NAL3" s="272"/>
      <c r="NAM3" s="270"/>
      <c r="NAN3" s="272"/>
      <c r="NAO3" s="270"/>
      <c r="NAP3" s="272"/>
      <c r="NAQ3" s="270"/>
      <c r="NAR3" s="272"/>
      <c r="NAS3" s="270"/>
      <c r="NAT3" s="272"/>
      <c r="NAU3" s="270"/>
      <c r="NAV3" s="272"/>
      <c r="NAW3" s="270"/>
      <c r="NAX3" s="272"/>
      <c r="NAY3" s="270"/>
      <c r="NAZ3" s="272"/>
      <c r="NBA3" s="270"/>
      <c r="NBB3" s="272"/>
      <c r="NBC3" s="270"/>
      <c r="NBD3" s="272"/>
      <c r="NBE3" s="270"/>
      <c r="NBF3" s="272"/>
      <c r="NBG3" s="270"/>
      <c r="NBH3" s="272"/>
      <c r="NBI3" s="270"/>
      <c r="NBJ3" s="272"/>
      <c r="NBK3" s="270"/>
      <c r="NBL3" s="272"/>
      <c r="NBM3" s="270"/>
      <c r="NBN3" s="272"/>
      <c r="NBO3" s="270"/>
      <c r="NBP3" s="272"/>
      <c r="NBQ3" s="270"/>
      <c r="NBR3" s="272"/>
      <c r="NBS3" s="270"/>
      <c r="NBT3" s="272"/>
      <c r="NBU3" s="270"/>
      <c r="NBV3" s="272"/>
      <c r="NBW3" s="270"/>
      <c r="NBX3" s="272"/>
      <c r="NBY3" s="270"/>
      <c r="NBZ3" s="272"/>
      <c r="NCA3" s="270"/>
      <c r="NCB3" s="272"/>
      <c r="NCC3" s="270"/>
      <c r="NCD3" s="272"/>
      <c r="NCE3" s="270"/>
      <c r="NCF3" s="272"/>
      <c r="NCG3" s="270"/>
      <c r="NCH3" s="272"/>
      <c r="NCI3" s="270"/>
      <c r="NCJ3" s="272"/>
      <c r="NCK3" s="270"/>
      <c r="NCL3" s="272"/>
      <c r="NCM3" s="270"/>
      <c r="NCN3" s="272"/>
      <c r="NCO3" s="270"/>
      <c r="NCP3" s="272"/>
      <c r="NCQ3" s="270"/>
      <c r="NCR3" s="272"/>
      <c r="NCS3" s="270"/>
      <c r="NCT3" s="272"/>
      <c r="NCU3" s="270"/>
      <c r="NCV3" s="272"/>
      <c r="NCW3" s="270"/>
      <c r="NCX3" s="272"/>
      <c r="NCY3" s="270"/>
      <c r="NCZ3" s="272"/>
      <c r="NDA3" s="270"/>
      <c r="NDB3" s="272"/>
      <c r="NDC3" s="270"/>
      <c r="NDD3" s="272"/>
      <c r="NDE3" s="270"/>
      <c r="NDF3" s="272"/>
      <c r="NDG3" s="270"/>
      <c r="NDH3" s="272"/>
      <c r="NDI3" s="270"/>
      <c r="NDJ3" s="272"/>
      <c r="NDK3" s="270"/>
      <c r="NDL3" s="272"/>
      <c r="NDM3" s="270"/>
      <c r="NDN3" s="272"/>
      <c r="NDO3" s="270"/>
      <c r="NDP3" s="272"/>
      <c r="NDQ3" s="270"/>
      <c r="NDR3" s="272"/>
      <c r="NDS3" s="270"/>
      <c r="NDT3" s="272"/>
      <c r="NDU3" s="270"/>
      <c r="NDV3" s="272"/>
      <c r="NDW3" s="270"/>
      <c r="NDX3" s="272"/>
      <c r="NDY3" s="270"/>
      <c r="NDZ3" s="272"/>
      <c r="NEA3" s="270"/>
      <c r="NEB3" s="272"/>
      <c r="NEC3" s="270"/>
      <c r="NED3" s="272"/>
      <c r="NEE3" s="270"/>
      <c r="NEF3" s="272"/>
      <c r="NEG3" s="270"/>
      <c r="NEH3" s="272"/>
      <c r="NEI3" s="270"/>
      <c r="NEJ3" s="272"/>
      <c r="NEK3" s="270"/>
      <c r="NEL3" s="272"/>
      <c r="NEM3" s="270"/>
      <c r="NEN3" s="272"/>
      <c r="NEO3" s="270"/>
      <c r="NEP3" s="272"/>
      <c r="NEQ3" s="270"/>
      <c r="NER3" s="272"/>
      <c r="NES3" s="270"/>
      <c r="NET3" s="272"/>
      <c r="NEU3" s="270"/>
      <c r="NEV3" s="272"/>
      <c r="NEW3" s="270"/>
      <c r="NEX3" s="272"/>
      <c r="NEY3" s="270"/>
      <c r="NEZ3" s="272"/>
      <c r="NFA3" s="270"/>
      <c r="NFB3" s="272"/>
      <c r="NFC3" s="270"/>
      <c r="NFD3" s="272"/>
      <c r="NFE3" s="270"/>
      <c r="NFF3" s="272"/>
      <c r="NFG3" s="270"/>
      <c r="NFH3" s="272"/>
      <c r="NFI3" s="270"/>
      <c r="NFJ3" s="272"/>
      <c r="NFK3" s="270"/>
      <c r="NFL3" s="272"/>
      <c r="NFM3" s="270"/>
      <c r="NFN3" s="272"/>
      <c r="NFO3" s="270"/>
      <c r="NFP3" s="272"/>
      <c r="NFQ3" s="270"/>
      <c r="NFR3" s="272"/>
      <c r="NFS3" s="270"/>
      <c r="NFT3" s="272"/>
      <c r="NFU3" s="270"/>
      <c r="NFV3" s="272"/>
      <c r="NFW3" s="270"/>
      <c r="NFX3" s="272"/>
      <c r="NFY3" s="270"/>
      <c r="NFZ3" s="272"/>
      <c r="NGA3" s="270"/>
      <c r="NGB3" s="272"/>
      <c r="NGC3" s="270"/>
      <c r="NGD3" s="272"/>
      <c r="NGE3" s="270"/>
      <c r="NGF3" s="272"/>
      <c r="NGG3" s="270"/>
      <c r="NGH3" s="272"/>
      <c r="NGI3" s="270"/>
      <c r="NGJ3" s="272"/>
      <c r="NGK3" s="270"/>
      <c r="NGL3" s="272"/>
      <c r="NGM3" s="270"/>
      <c r="NGN3" s="272"/>
      <c r="NGO3" s="270"/>
      <c r="NGP3" s="272"/>
      <c r="NGQ3" s="270"/>
      <c r="NGR3" s="272"/>
      <c r="NGS3" s="270"/>
      <c r="NGT3" s="272"/>
      <c r="NGU3" s="270"/>
      <c r="NGV3" s="272"/>
      <c r="NGW3" s="270"/>
      <c r="NGX3" s="272"/>
      <c r="NGY3" s="270"/>
      <c r="NGZ3" s="272"/>
      <c r="NHA3" s="270"/>
      <c r="NHB3" s="272"/>
      <c r="NHC3" s="270"/>
      <c r="NHD3" s="272"/>
      <c r="NHE3" s="270"/>
      <c r="NHF3" s="272"/>
      <c r="NHG3" s="270"/>
      <c r="NHH3" s="272"/>
      <c r="NHI3" s="270"/>
      <c r="NHJ3" s="272"/>
      <c r="NHK3" s="270"/>
      <c r="NHL3" s="272"/>
      <c r="NHM3" s="270"/>
      <c r="NHN3" s="272"/>
      <c r="NHO3" s="270"/>
      <c r="NHP3" s="272"/>
      <c r="NHQ3" s="270"/>
      <c r="NHR3" s="272"/>
      <c r="NHS3" s="270"/>
      <c r="NHT3" s="272"/>
      <c r="NHU3" s="270"/>
      <c r="NHV3" s="272"/>
      <c r="NHW3" s="270"/>
      <c r="NHX3" s="272"/>
      <c r="NHY3" s="270"/>
      <c r="NHZ3" s="272"/>
      <c r="NIA3" s="270"/>
      <c r="NIB3" s="272"/>
      <c r="NIC3" s="270"/>
      <c r="NID3" s="272"/>
      <c r="NIE3" s="270"/>
      <c r="NIF3" s="272"/>
      <c r="NIG3" s="270"/>
      <c r="NIH3" s="272"/>
      <c r="NII3" s="270"/>
      <c r="NIJ3" s="272"/>
      <c r="NIK3" s="270"/>
      <c r="NIL3" s="272"/>
      <c r="NIM3" s="270"/>
      <c r="NIN3" s="272"/>
      <c r="NIO3" s="270"/>
      <c r="NIP3" s="272"/>
      <c r="NIQ3" s="270"/>
      <c r="NIR3" s="272"/>
      <c r="NIS3" s="270"/>
      <c r="NIT3" s="272"/>
      <c r="NIU3" s="270"/>
      <c r="NIV3" s="272"/>
      <c r="NIW3" s="270"/>
      <c r="NIX3" s="272"/>
      <c r="NIY3" s="270"/>
      <c r="NIZ3" s="272"/>
      <c r="NJA3" s="270"/>
      <c r="NJB3" s="272"/>
      <c r="NJC3" s="270"/>
      <c r="NJD3" s="272"/>
      <c r="NJE3" s="270"/>
      <c r="NJF3" s="272"/>
      <c r="NJG3" s="270"/>
      <c r="NJH3" s="272"/>
      <c r="NJI3" s="270"/>
      <c r="NJJ3" s="272"/>
      <c r="NJK3" s="270"/>
      <c r="NJL3" s="272"/>
      <c r="NJM3" s="270"/>
      <c r="NJN3" s="272"/>
      <c r="NJO3" s="270"/>
      <c r="NJP3" s="272"/>
      <c r="NJQ3" s="270"/>
      <c r="NJR3" s="272"/>
      <c r="NJS3" s="270"/>
      <c r="NJT3" s="272"/>
      <c r="NJU3" s="270"/>
      <c r="NJV3" s="272"/>
      <c r="NJW3" s="270"/>
      <c r="NJX3" s="272"/>
      <c r="NJY3" s="270"/>
      <c r="NJZ3" s="272"/>
      <c r="NKA3" s="270"/>
      <c r="NKB3" s="272"/>
      <c r="NKC3" s="270"/>
      <c r="NKD3" s="272"/>
      <c r="NKE3" s="270"/>
      <c r="NKF3" s="272"/>
      <c r="NKG3" s="270"/>
      <c r="NKH3" s="272"/>
      <c r="NKI3" s="270"/>
      <c r="NKJ3" s="272"/>
      <c r="NKK3" s="270"/>
      <c r="NKL3" s="272"/>
      <c r="NKM3" s="270"/>
      <c r="NKN3" s="272"/>
      <c r="NKO3" s="270"/>
      <c r="NKP3" s="272"/>
      <c r="NKQ3" s="270"/>
      <c r="NKR3" s="272"/>
      <c r="NKS3" s="270"/>
      <c r="NKT3" s="272"/>
      <c r="NKU3" s="270"/>
      <c r="NKV3" s="272"/>
      <c r="NKW3" s="270"/>
      <c r="NKX3" s="272"/>
      <c r="NKY3" s="270"/>
      <c r="NKZ3" s="272"/>
      <c r="NLA3" s="270"/>
      <c r="NLB3" s="272"/>
      <c r="NLC3" s="270"/>
      <c r="NLD3" s="272"/>
      <c r="NLE3" s="270"/>
      <c r="NLF3" s="272"/>
      <c r="NLG3" s="270"/>
      <c r="NLH3" s="272"/>
      <c r="NLI3" s="270"/>
      <c r="NLJ3" s="272"/>
      <c r="NLK3" s="270"/>
      <c r="NLL3" s="272"/>
      <c r="NLM3" s="270"/>
      <c r="NLN3" s="272"/>
      <c r="NLO3" s="270"/>
      <c r="NLP3" s="272"/>
      <c r="NLQ3" s="270"/>
      <c r="NLR3" s="272"/>
      <c r="NLS3" s="270"/>
      <c r="NLT3" s="272"/>
      <c r="NLU3" s="270"/>
      <c r="NLV3" s="272"/>
      <c r="NLW3" s="270"/>
      <c r="NLX3" s="272"/>
      <c r="NLY3" s="270"/>
      <c r="NLZ3" s="272"/>
      <c r="NMA3" s="270"/>
      <c r="NMB3" s="272"/>
      <c r="NMC3" s="270"/>
      <c r="NMD3" s="272"/>
      <c r="NME3" s="270"/>
      <c r="NMF3" s="272"/>
      <c r="NMG3" s="270"/>
      <c r="NMH3" s="272"/>
      <c r="NMI3" s="270"/>
      <c r="NMJ3" s="272"/>
      <c r="NMK3" s="270"/>
      <c r="NML3" s="272"/>
      <c r="NMM3" s="270"/>
      <c r="NMN3" s="272"/>
      <c r="NMO3" s="270"/>
      <c r="NMP3" s="272"/>
      <c r="NMQ3" s="270"/>
      <c r="NMR3" s="272"/>
      <c r="NMS3" s="270"/>
      <c r="NMT3" s="272"/>
      <c r="NMU3" s="270"/>
      <c r="NMV3" s="272"/>
      <c r="NMW3" s="270"/>
      <c r="NMX3" s="272"/>
      <c r="NMY3" s="270"/>
      <c r="NMZ3" s="272"/>
      <c r="NNA3" s="270"/>
      <c r="NNB3" s="272"/>
      <c r="NNC3" s="270"/>
      <c r="NND3" s="272"/>
      <c r="NNE3" s="270"/>
      <c r="NNF3" s="272"/>
      <c r="NNG3" s="270"/>
      <c r="NNH3" s="272"/>
      <c r="NNI3" s="270"/>
      <c r="NNJ3" s="272"/>
      <c r="NNK3" s="270"/>
      <c r="NNL3" s="272"/>
      <c r="NNM3" s="270"/>
      <c r="NNN3" s="272"/>
      <c r="NNO3" s="270"/>
      <c r="NNP3" s="272"/>
      <c r="NNQ3" s="270"/>
      <c r="NNR3" s="272"/>
      <c r="NNS3" s="270"/>
      <c r="NNT3" s="272"/>
      <c r="NNU3" s="270"/>
      <c r="NNV3" s="272"/>
      <c r="NNW3" s="270"/>
      <c r="NNX3" s="272"/>
      <c r="NNY3" s="270"/>
      <c r="NNZ3" s="272"/>
      <c r="NOA3" s="270"/>
      <c r="NOB3" s="272"/>
      <c r="NOC3" s="270"/>
      <c r="NOD3" s="272"/>
      <c r="NOE3" s="270"/>
      <c r="NOF3" s="272"/>
      <c r="NOG3" s="270"/>
      <c r="NOH3" s="272"/>
      <c r="NOI3" s="270"/>
      <c r="NOJ3" s="272"/>
      <c r="NOK3" s="270"/>
      <c r="NOL3" s="272"/>
      <c r="NOM3" s="270"/>
      <c r="NON3" s="272"/>
      <c r="NOO3" s="270"/>
      <c r="NOP3" s="272"/>
      <c r="NOQ3" s="270"/>
      <c r="NOR3" s="272"/>
      <c r="NOS3" s="270"/>
      <c r="NOT3" s="272"/>
      <c r="NOU3" s="270"/>
      <c r="NOV3" s="272"/>
      <c r="NOW3" s="270"/>
      <c r="NOX3" s="272"/>
      <c r="NOY3" s="270"/>
      <c r="NOZ3" s="272"/>
      <c r="NPA3" s="270"/>
      <c r="NPB3" s="272"/>
      <c r="NPC3" s="270"/>
      <c r="NPD3" s="272"/>
      <c r="NPE3" s="270"/>
      <c r="NPF3" s="272"/>
      <c r="NPG3" s="270"/>
      <c r="NPH3" s="272"/>
      <c r="NPI3" s="270"/>
      <c r="NPJ3" s="272"/>
      <c r="NPK3" s="270"/>
      <c r="NPL3" s="272"/>
      <c r="NPM3" s="270"/>
      <c r="NPN3" s="272"/>
      <c r="NPO3" s="270"/>
      <c r="NPP3" s="272"/>
      <c r="NPQ3" s="270"/>
      <c r="NPR3" s="272"/>
      <c r="NPS3" s="270"/>
      <c r="NPT3" s="272"/>
      <c r="NPU3" s="270"/>
      <c r="NPV3" s="272"/>
      <c r="NPW3" s="270"/>
      <c r="NPX3" s="272"/>
      <c r="NPY3" s="270"/>
      <c r="NPZ3" s="272"/>
      <c r="NQA3" s="270"/>
      <c r="NQB3" s="272"/>
      <c r="NQC3" s="270"/>
      <c r="NQD3" s="272"/>
      <c r="NQE3" s="270"/>
      <c r="NQF3" s="272"/>
      <c r="NQG3" s="270"/>
      <c r="NQH3" s="272"/>
      <c r="NQI3" s="270"/>
      <c r="NQJ3" s="272"/>
      <c r="NQK3" s="270"/>
      <c r="NQL3" s="272"/>
      <c r="NQM3" s="270"/>
      <c r="NQN3" s="272"/>
      <c r="NQO3" s="270"/>
      <c r="NQP3" s="272"/>
      <c r="NQQ3" s="270"/>
      <c r="NQR3" s="272"/>
      <c r="NQS3" s="270"/>
      <c r="NQT3" s="272"/>
      <c r="NQU3" s="270"/>
      <c r="NQV3" s="272"/>
      <c r="NQW3" s="270"/>
      <c r="NQX3" s="272"/>
      <c r="NQY3" s="270"/>
      <c r="NQZ3" s="272"/>
      <c r="NRA3" s="270"/>
      <c r="NRB3" s="272"/>
      <c r="NRC3" s="270"/>
      <c r="NRD3" s="272"/>
      <c r="NRE3" s="270"/>
      <c r="NRF3" s="272"/>
      <c r="NRG3" s="270"/>
      <c r="NRH3" s="272"/>
      <c r="NRI3" s="270"/>
      <c r="NRJ3" s="272"/>
      <c r="NRK3" s="270"/>
      <c r="NRL3" s="272"/>
      <c r="NRM3" s="270"/>
      <c r="NRN3" s="272"/>
      <c r="NRO3" s="270"/>
      <c r="NRP3" s="272"/>
      <c r="NRQ3" s="270"/>
      <c r="NRR3" s="272"/>
      <c r="NRS3" s="270"/>
      <c r="NRT3" s="272"/>
      <c r="NRU3" s="270"/>
      <c r="NRV3" s="272"/>
      <c r="NRW3" s="270"/>
      <c r="NRX3" s="272"/>
      <c r="NRY3" s="270"/>
      <c r="NRZ3" s="272"/>
      <c r="NSA3" s="270"/>
      <c r="NSB3" s="272"/>
      <c r="NSC3" s="270"/>
      <c r="NSD3" s="272"/>
      <c r="NSE3" s="270"/>
      <c r="NSF3" s="272"/>
      <c r="NSG3" s="270"/>
      <c r="NSH3" s="272"/>
      <c r="NSI3" s="270"/>
      <c r="NSJ3" s="272"/>
      <c r="NSK3" s="270"/>
      <c r="NSL3" s="272"/>
      <c r="NSM3" s="270"/>
      <c r="NSN3" s="272"/>
      <c r="NSO3" s="270"/>
      <c r="NSP3" s="272"/>
      <c r="NSQ3" s="270"/>
      <c r="NSR3" s="272"/>
      <c r="NSS3" s="270"/>
      <c r="NST3" s="272"/>
      <c r="NSU3" s="270"/>
      <c r="NSV3" s="272"/>
      <c r="NSW3" s="270"/>
      <c r="NSX3" s="272"/>
      <c r="NSY3" s="270"/>
      <c r="NSZ3" s="272"/>
      <c r="NTA3" s="270"/>
      <c r="NTB3" s="272"/>
      <c r="NTC3" s="270"/>
      <c r="NTD3" s="272"/>
      <c r="NTE3" s="270"/>
      <c r="NTF3" s="272"/>
      <c r="NTG3" s="270"/>
      <c r="NTH3" s="272"/>
      <c r="NTI3" s="270"/>
      <c r="NTJ3" s="272"/>
      <c r="NTK3" s="270"/>
      <c r="NTL3" s="272"/>
      <c r="NTM3" s="270"/>
      <c r="NTN3" s="272"/>
      <c r="NTO3" s="270"/>
      <c r="NTP3" s="272"/>
      <c r="NTQ3" s="270"/>
      <c r="NTR3" s="272"/>
      <c r="NTS3" s="270"/>
      <c r="NTT3" s="272"/>
      <c r="NTU3" s="270"/>
      <c r="NTV3" s="272"/>
      <c r="NTW3" s="270"/>
      <c r="NTX3" s="272"/>
      <c r="NTY3" s="270"/>
      <c r="NTZ3" s="272"/>
      <c r="NUA3" s="270"/>
      <c r="NUB3" s="272"/>
      <c r="NUC3" s="270"/>
      <c r="NUD3" s="272"/>
      <c r="NUE3" s="270"/>
      <c r="NUF3" s="272"/>
      <c r="NUG3" s="270"/>
      <c r="NUH3" s="272"/>
      <c r="NUI3" s="270"/>
      <c r="NUJ3" s="272"/>
      <c r="NUK3" s="270"/>
      <c r="NUL3" s="272"/>
      <c r="NUM3" s="270"/>
      <c r="NUN3" s="272"/>
      <c r="NUO3" s="270"/>
      <c r="NUP3" s="272"/>
      <c r="NUQ3" s="270"/>
      <c r="NUR3" s="272"/>
      <c r="NUS3" s="270"/>
      <c r="NUT3" s="272"/>
      <c r="NUU3" s="270"/>
      <c r="NUV3" s="272"/>
      <c r="NUW3" s="270"/>
      <c r="NUX3" s="272"/>
      <c r="NUY3" s="270"/>
      <c r="NUZ3" s="272"/>
      <c r="NVA3" s="270"/>
      <c r="NVB3" s="272"/>
      <c r="NVC3" s="270"/>
      <c r="NVD3" s="272"/>
      <c r="NVE3" s="270"/>
      <c r="NVF3" s="272"/>
      <c r="NVG3" s="270"/>
      <c r="NVH3" s="272"/>
      <c r="NVI3" s="270"/>
      <c r="NVJ3" s="272"/>
      <c r="NVK3" s="270"/>
      <c r="NVL3" s="272"/>
      <c r="NVM3" s="270"/>
      <c r="NVN3" s="272"/>
      <c r="NVO3" s="270"/>
      <c r="NVP3" s="272"/>
      <c r="NVQ3" s="270"/>
      <c r="NVR3" s="272"/>
      <c r="NVS3" s="270"/>
      <c r="NVT3" s="272"/>
      <c r="NVU3" s="270"/>
      <c r="NVV3" s="272"/>
      <c r="NVW3" s="270"/>
      <c r="NVX3" s="272"/>
      <c r="NVY3" s="270"/>
      <c r="NVZ3" s="272"/>
      <c r="NWA3" s="270"/>
      <c r="NWB3" s="272"/>
      <c r="NWC3" s="270"/>
      <c r="NWD3" s="272"/>
      <c r="NWE3" s="270"/>
      <c r="NWF3" s="272"/>
      <c r="NWG3" s="270"/>
      <c r="NWH3" s="272"/>
      <c r="NWI3" s="270"/>
      <c r="NWJ3" s="272"/>
      <c r="NWK3" s="270"/>
      <c r="NWL3" s="272"/>
      <c r="NWM3" s="270"/>
      <c r="NWN3" s="272"/>
      <c r="NWO3" s="270"/>
      <c r="NWP3" s="272"/>
      <c r="NWQ3" s="270"/>
      <c r="NWR3" s="272"/>
      <c r="NWS3" s="270"/>
      <c r="NWT3" s="272"/>
      <c r="NWU3" s="270"/>
      <c r="NWV3" s="272"/>
      <c r="NWW3" s="270"/>
      <c r="NWX3" s="272"/>
      <c r="NWY3" s="270"/>
      <c r="NWZ3" s="272"/>
      <c r="NXA3" s="270"/>
      <c r="NXB3" s="272"/>
      <c r="NXC3" s="270"/>
      <c r="NXD3" s="272"/>
      <c r="NXE3" s="270"/>
      <c r="NXF3" s="272"/>
      <c r="NXG3" s="270"/>
      <c r="NXH3" s="272"/>
      <c r="NXI3" s="270"/>
      <c r="NXJ3" s="272"/>
      <c r="NXK3" s="270"/>
      <c r="NXL3" s="272"/>
      <c r="NXM3" s="270"/>
      <c r="NXN3" s="272"/>
      <c r="NXO3" s="270"/>
      <c r="NXP3" s="272"/>
      <c r="NXQ3" s="270"/>
      <c r="NXR3" s="272"/>
      <c r="NXS3" s="270"/>
      <c r="NXT3" s="272"/>
      <c r="NXU3" s="270"/>
      <c r="NXV3" s="272"/>
      <c r="NXW3" s="270"/>
      <c r="NXX3" s="272"/>
      <c r="NXY3" s="270"/>
      <c r="NXZ3" s="272"/>
      <c r="NYA3" s="270"/>
      <c r="NYB3" s="272"/>
      <c r="NYC3" s="270"/>
      <c r="NYD3" s="272"/>
      <c r="NYE3" s="270"/>
      <c r="NYF3" s="272"/>
      <c r="NYG3" s="270"/>
      <c r="NYH3" s="272"/>
      <c r="NYI3" s="270"/>
      <c r="NYJ3" s="272"/>
      <c r="NYK3" s="270"/>
      <c r="NYL3" s="272"/>
      <c r="NYM3" s="270"/>
      <c r="NYN3" s="272"/>
      <c r="NYO3" s="270"/>
      <c r="NYP3" s="272"/>
      <c r="NYQ3" s="270"/>
      <c r="NYR3" s="272"/>
      <c r="NYS3" s="270"/>
      <c r="NYT3" s="272"/>
      <c r="NYU3" s="270"/>
      <c r="NYV3" s="272"/>
      <c r="NYW3" s="270"/>
      <c r="NYX3" s="272"/>
      <c r="NYY3" s="270"/>
      <c r="NYZ3" s="272"/>
      <c r="NZA3" s="270"/>
      <c r="NZB3" s="272"/>
      <c r="NZC3" s="270"/>
      <c r="NZD3" s="272"/>
      <c r="NZE3" s="270"/>
      <c r="NZF3" s="272"/>
      <c r="NZG3" s="270"/>
      <c r="NZH3" s="272"/>
      <c r="NZI3" s="270"/>
      <c r="NZJ3" s="272"/>
      <c r="NZK3" s="270"/>
      <c r="NZL3" s="272"/>
      <c r="NZM3" s="270"/>
      <c r="NZN3" s="272"/>
      <c r="NZO3" s="270"/>
      <c r="NZP3" s="272"/>
      <c r="NZQ3" s="270"/>
      <c r="NZR3" s="272"/>
      <c r="NZS3" s="270"/>
      <c r="NZT3" s="272"/>
      <c r="NZU3" s="270"/>
      <c r="NZV3" s="272"/>
      <c r="NZW3" s="270"/>
      <c r="NZX3" s="272"/>
      <c r="NZY3" s="270"/>
      <c r="NZZ3" s="272"/>
      <c r="OAA3" s="270"/>
      <c r="OAB3" s="272"/>
      <c r="OAC3" s="270"/>
      <c r="OAD3" s="272"/>
      <c r="OAE3" s="270"/>
      <c r="OAF3" s="272"/>
      <c r="OAG3" s="270"/>
      <c r="OAH3" s="272"/>
      <c r="OAI3" s="270"/>
      <c r="OAJ3" s="272"/>
      <c r="OAK3" s="270"/>
      <c r="OAL3" s="272"/>
      <c r="OAM3" s="270"/>
      <c r="OAN3" s="272"/>
      <c r="OAO3" s="270"/>
      <c r="OAP3" s="272"/>
      <c r="OAQ3" s="270"/>
      <c r="OAR3" s="272"/>
      <c r="OAS3" s="270"/>
      <c r="OAT3" s="272"/>
      <c r="OAU3" s="270"/>
      <c r="OAV3" s="272"/>
      <c r="OAW3" s="270"/>
      <c r="OAX3" s="272"/>
      <c r="OAY3" s="270"/>
      <c r="OAZ3" s="272"/>
      <c r="OBA3" s="270"/>
      <c r="OBB3" s="272"/>
      <c r="OBC3" s="270"/>
      <c r="OBD3" s="272"/>
      <c r="OBE3" s="270"/>
      <c r="OBF3" s="272"/>
      <c r="OBG3" s="270"/>
      <c r="OBH3" s="272"/>
      <c r="OBI3" s="270"/>
      <c r="OBJ3" s="272"/>
      <c r="OBK3" s="270"/>
      <c r="OBL3" s="272"/>
      <c r="OBM3" s="270"/>
      <c r="OBN3" s="272"/>
      <c r="OBO3" s="270"/>
      <c r="OBP3" s="272"/>
      <c r="OBQ3" s="270"/>
      <c r="OBR3" s="272"/>
      <c r="OBS3" s="270"/>
      <c r="OBT3" s="272"/>
      <c r="OBU3" s="270"/>
      <c r="OBV3" s="272"/>
      <c r="OBW3" s="270"/>
      <c r="OBX3" s="272"/>
      <c r="OBY3" s="270"/>
      <c r="OBZ3" s="272"/>
      <c r="OCA3" s="270"/>
      <c r="OCB3" s="272"/>
      <c r="OCC3" s="270"/>
      <c r="OCD3" s="272"/>
      <c r="OCE3" s="270"/>
      <c r="OCF3" s="272"/>
      <c r="OCG3" s="270"/>
      <c r="OCH3" s="272"/>
      <c r="OCI3" s="270"/>
      <c r="OCJ3" s="272"/>
      <c r="OCK3" s="270"/>
      <c r="OCL3" s="272"/>
      <c r="OCM3" s="270"/>
      <c r="OCN3" s="272"/>
      <c r="OCO3" s="270"/>
      <c r="OCP3" s="272"/>
      <c r="OCQ3" s="270"/>
      <c r="OCR3" s="272"/>
      <c r="OCS3" s="270"/>
      <c r="OCT3" s="272"/>
      <c r="OCU3" s="270"/>
      <c r="OCV3" s="272"/>
      <c r="OCW3" s="270"/>
      <c r="OCX3" s="272"/>
      <c r="OCY3" s="270"/>
      <c r="OCZ3" s="272"/>
      <c r="ODA3" s="270"/>
      <c r="ODB3" s="272"/>
      <c r="ODC3" s="270"/>
      <c r="ODD3" s="272"/>
      <c r="ODE3" s="270"/>
      <c r="ODF3" s="272"/>
      <c r="ODG3" s="270"/>
      <c r="ODH3" s="272"/>
      <c r="ODI3" s="270"/>
      <c r="ODJ3" s="272"/>
      <c r="ODK3" s="270"/>
      <c r="ODL3" s="272"/>
      <c r="ODM3" s="270"/>
      <c r="ODN3" s="272"/>
      <c r="ODO3" s="270"/>
      <c r="ODP3" s="272"/>
      <c r="ODQ3" s="270"/>
      <c r="ODR3" s="272"/>
      <c r="ODS3" s="270"/>
      <c r="ODT3" s="272"/>
      <c r="ODU3" s="270"/>
      <c r="ODV3" s="272"/>
      <c r="ODW3" s="270"/>
      <c r="ODX3" s="272"/>
      <c r="ODY3" s="270"/>
      <c r="ODZ3" s="272"/>
      <c r="OEA3" s="270"/>
      <c r="OEB3" s="272"/>
      <c r="OEC3" s="270"/>
      <c r="OED3" s="272"/>
      <c r="OEE3" s="270"/>
      <c r="OEF3" s="272"/>
      <c r="OEG3" s="270"/>
      <c r="OEH3" s="272"/>
      <c r="OEI3" s="270"/>
      <c r="OEJ3" s="272"/>
      <c r="OEK3" s="270"/>
      <c r="OEL3" s="272"/>
      <c r="OEM3" s="270"/>
      <c r="OEN3" s="272"/>
      <c r="OEO3" s="270"/>
      <c r="OEP3" s="272"/>
      <c r="OEQ3" s="270"/>
      <c r="OER3" s="272"/>
      <c r="OES3" s="270"/>
      <c r="OET3" s="272"/>
      <c r="OEU3" s="270"/>
      <c r="OEV3" s="272"/>
      <c r="OEW3" s="270"/>
      <c r="OEX3" s="272"/>
      <c r="OEY3" s="270"/>
      <c r="OEZ3" s="272"/>
      <c r="OFA3" s="270"/>
      <c r="OFB3" s="272"/>
      <c r="OFC3" s="270"/>
      <c r="OFD3" s="272"/>
      <c r="OFE3" s="270"/>
      <c r="OFF3" s="272"/>
      <c r="OFG3" s="270"/>
      <c r="OFH3" s="272"/>
      <c r="OFI3" s="270"/>
      <c r="OFJ3" s="272"/>
      <c r="OFK3" s="270"/>
      <c r="OFL3" s="272"/>
      <c r="OFM3" s="270"/>
      <c r="OFN3" s="272"/>
      <c r="OFO3" s="270"/>
      <c r="OFP3" s="272"/>
      <c r="OFQ3" s="270"/>
      <c r="OFR3" s="272"/>
      <c r="OFS3" s="270"/>
      <c r="OFT3" s="272"/>
      <c r="OFU3" s="270"/>
      <c r="OFV3" s="272"/>
      <c r="OFW3" s="270"/>
      <c r="OFX3" s="272"/>
      <c r="OFY3" s="270"/>
      <c r="OFZ3" s="272"/>
      <c r="OGA3" s="270"/>
      <c r="OGB3" s="272"/>
      <c r="OGC3" s="270"/>
      <c r="OGD3" s="272"/>
      <c r="OGE3" s="270"/>
      <c r="OGF3" s="272"/>
      <c r="OGG3" s="270"/>
      <c r="OGH3" s="272"/>
      <c r="OGI3" s="270"/>
      <c r="OGJ3" s="272"/>
      <c r="OGK3" s="270"/>
      <c r="OGL3" s="272"/>
      <c r="OGM3" s="270"/>
      <c r="OGN3" s="272"/>
      <c r="OGO3" s="270"/>
      <c r="OGP3" s="272"/>
      <c r="OGQ3" s="270"/>
      <c r="OGR3" s="272"/>
      <c r="OGS3" s="270"/>
      <c r="OGT3" s="272"/>
      <c r="OGU3" s="270"/>
      <c r="OGV3" s="272"/>
      <c r="OGW3" s="270"/>
      <c r="OGX3" s="272"/>
      <c r="OGY3" s="270"/>
      <c r="OGZ3" s="272"/>
      <c r="OHA3" s="270"/>
      <c r="OHB3" s="272"/>
      <c r="OHC3" s="270"/>
      <c r="OHD3" s="272"/>
      <c r="OHE3" s="270"/>
      <c r="OHF3" s="272"/>
      <c r="OHG3" s="270"/>
      <c r="OHH3" s="272"/>
      <c r="OHI3" s="270"/>
      <c r="OHJ3" s="272"/>
      <c r="OHK3" s="270"/>
      <c r="OHL3" s="272"/>
      <c r="OHM3" s="270"/>
      <c r="OHN3" s="272"/>
      <c r="OHO3" s="270"/>
      <c r="OHP3" s="272"/>
      <c r="OHQ3" s="270"/>
      <c r="OHR3" s="272"/>
      <c r="OHS3" s="270"/>
      <c r="OHT3" s="272"/>
      <c r="OHU3" s="270"/>
      <c r="OHV3" s="272"/>
      <c r="OHW3" s="270"/>
      <c r="OHX3" s="272"/>
      <c r="OHY3" s="270"/>
      <c r="OHZ3" s="272"/>
      <c r="OIA3" s="270"/>
      <c r="OIB3" s="272"/>
      <c r="OIC3" s="270"/>
      <c r="OID3" s="272"/>
      <c r="OIE3" s="270"/>
      <c r="OIF3" s="272"/>
      <c r="OIG3" s="270"/>
      <c r="OIH3" s="272"/>
      <c r="OII3" s="270"/>
      <c r="OIJ3" s="272"/>
      <c r="OIK3" s="270"/>
      <c r="OIL3" s="272"/>
      <c r="OIM3" s="270"/>
      <c r="OIN3" s="272"/>
      <c r="OIO3" s="270"/>
      <c r="OIP3" s="272"/>
      <c r="OIQ3" s="270"/>
      <c r="OIR3" s="272"/>
      <c r="OIS3" s="270"/>
      <c r="OIT3" s="272"/>
      <c r="OIU3" s="270"/>
      <c r="OIV3" s="272"/>
      <c r="OIW3" s="270"/>
      <c r="OIX3" s="272"/>
      <c r="OIY3" s="270"/>
      <c r="OIZ3" s="272"/>
      <c r="OJA3" s="270"/>
      <c r="OJB3" s="272"/>
      <c r="OJC3" s="270"/>
      <c r="OJD3" s="272"/>
      <c r="OJE3" s="270"/>
      <c r="OJF3" s="272"/>
      <c r="OJG3" s="270"/>
      <c r="OJH3" s="272"/>
      <c r="OJI3" s="270"/>
      <c r="OJJ3" s="272"/>
      <c r="OJK3" s="270"/>
      <c r="OJL3" s="272"/>
      <c r="OJM3" s="270"/>
      <c r="OJN3" s="272"/>
      <c r="OJO3" s="270"/>
      <c r="OJP3" s="272"/>
      <c r="OJQ3" s="270"/>
      <c r="OJR3" s="272"/>
      <c r="OJS3" s="270"/>
      <c r="OJT3" s="272"/>
      <c r="OJU3" s="270"/>
      <c r="OJV3" s="272"/>
      <c r="OJW3" s="270"/>
      <c r="OJX3" s="272"/>
      <c r="OJY3" s="270"/>
      <c r="OJZ3" s="272"/>
      <c r="OKA3" s="270"/>
      <c r="OKB3" s="272"/>
      <c r="OKC3" s="270"/>
      <c r="OKD3" s="272"/>
      <c r="OKE3" s="270"/>
      <c r="OKF3" s="272"/>
      <c r="OKG3" s="270"/>
      <c r="OKH3" s="272"/>
      <c r="OKI3" s="270"/>
      <c r="OKJ3" s="272"/>
      <c r="OKK3" s="270"/>
      <c r="OKL3" s="272"/>
      <c r="OKM3" s="270"/>
      <c r="OKN3" s="272"/>
      <c r="OKO3" s="270"/>
      <c r="OKP3" s="272"/>
      <c r="OKQ3" s="270"/>
      <c r="OKR3" s="272"/>
      <c r="OKS3" s="270"/>
      <c r="OKT3" s="272"/>
      <c r="OKU3" s="270"/>
      <c r="OKV3" s="272"/>
      <c r="OKW3" s="270"/>
      <c r="OKX3" s="272"/>
      <c r="OKY3" s="270"/>
      <c r="OKZ3" s="272"/>
      <c r="OLA3" s="270"/>
      <c r="OLB3" s="272"/>
      <c r="OLC3" s="270"/>
      <c r="OLD3" s="272"/>
      <c r="OLE3" s="270"/>
      <c r="OLF3" s="272"/>
      <c r="OLG3" s="270"/>
      <c r="OLH3" s="272"/>
      <c r="OLI3" s="270"/>
      <c r="OLJ3" s="272"/>
      <c r="OLK3" s="270"/>
      <c r="OLL3" s="272"/>
      <c r="OLM3" s="270"/>
      <c r="OLN3" s="272"/>
      <c r="OLO3" s="270"/>
      <c r="OLP3" s="272"/>
      <c r="OLQ3" s="270"/>
      <c r="OLR3" s="272"/>
      <c r="OLS3" s="270"/>
      <c r="OLT3" s="272"/>
      <c r="OLU3" s="270"/>
      <c r="OLV3" s="272"/>
      <c r="OLW3" s="270"/>
      <c r="OLX3" s="272"/>
      <c r="OLY3" s="270"/>
      <c r="OLZ3" s="272"/>
      <c r="OMA3" s="270"/>
      <c r="OMB3" s="272"/>
      <c r="OMC3" s="270"/>
      <c r="OMD3" s="272"/>
      <c r="OME3" s="270"/>
      <c r="OMF3" s="272"/>
      <c r="OMG3" s="270"/>
      <c r="OMH3" s="272"/>
      <c r="OMI3" s="270"/>
      <c r="OMJ3" s="272"/>
      <c r="OMK3" s="270"/>
      <c r="OML3" s="272"/>
      <c r="OMM3" s="270"/>
      <c r="OMN3" s="272"/>
      <c r="OMO3" s="270"/>
      <c r="OMP3" s="272"/>
      <c r="OMQ3" s="270"/>
      <c r="OMR3" s="272"/>
      <c r="OMS3" s="270"/>
      <c r="OMT3" s="272"/>
      <c r="OMU3" s="270"/>
      <c r="OMV3" s="272"/>
      <c r="OMW3" s="270"/>
      <c r="OMX3" s="272"/>
      <c r="OMY3" s="270"/>
      <c r="OMZ3" s="272"/>
      <c r="ONA3" s="270"/>
      <c r="ONB3" s="272"/>
      <c r="ONC3" s="270"/>
      <c r="OND3" s="272"/>
      <c r="ONE3" s="270"/>
      <c r="ONF3" s="272"/>
      <c r="ONG3" s="270"/>
      <c r="ONH3" s="272"/>
      <c r="ONI3" s="270"/>
      <c r="ONJ3" s="272"/>
      <c r="ONK3" s="270"/>
      <c r="ONL3" s="272"/>
      <c r="ONM3" s="270"/>
      <c r="ONN3" s="272"/>
      <c r="ONO3" s="270"/>
      <c r="ONP3" s="272"/>
      <c r="ONQ3" s="270"/>
      <c r="ONR3" s="272"/>
      <c r="ONS3" s="270"/>
      <c r="ONT3" s="272"/>
      <c r="ONU3" s="270"/>
      <c r="ONV3" s="272"/>
      <c r="ONW3" s="270"/>
      <c r="ONX3" s="272"/>
      <c r="ONY3" s="270"/>
      <c r="ONZ3" s="272"/>
      <c r="OOA3" s="270"/>
      <c r="OOB3" s="272"/>
      <c r="OOC3" s="270"/>
      <c r="OOD3" s="272"/>
      <c r="OOE3" s="270"/>
      <c r="OOF3" s="272"/>
      <c r="OOG3" s="270"/>
      <c r="OOH3" s="272"/>
      <c r="OOI3" s="270"/>
      <c r="OOJ3" s="272"/>
      <c r="OOK3" s="270"/>
      <c r="OOL3" s="272"/>
      <c r="OOM3" s="270"/>
      <c r="OON3" s="272"/>
      <c r="OOO3" s="270"/>
      <c r="OOP3" s="272"/>
      <c r="OOQ3" s="270"/>
      <c r="OOR3" s="272"/>
      <c r="OOS3" s="270"/>
      <c r="OOT3" s="272"/>
      <c r="OOU3" s="270"/>
      <c r="OOV3" s="272"/>
      <c r="OOW3" s="270"/>
      <c r="OOX3" s="272"/>
      <c r="OOY3" s="270"/>
      <c r="OOZ3" s="272"/>
      <c r="OPA3" s="270"/>
      <c r="OPB3" s="272"/>
      <c r="OPC3" s="270"/>
      <c r="OPD3" s="272"/>
      <c r="OPE3" s="270"/>
      <c r="OPF3" s="272"/>
      <c r="OPG3" s="270"/>
      <c r="OPH3" s="272"/>
      <c r="OPI3" s="270"/>
      <c r="OPJ3" s="272"/>
      <c r="OPK3" s="270"/>
      <c r="OPL3" s="272"/>
      <c r="OPM3" s="270"/>
      <c r="OPN3" s="272"/>
      <c r="OPO3" s="270"/>
      <c r="OPP3" s="272"/>
      <c r="OPQ3" s="270"/>
      <c r="OPR3" s="272"/>
      <c r="OPS3" s="270"/>
      <c r="OPT3" s="272"/>
      <c r="OPU3" s="270"/>
      <c r="OPV3" s="272"/>
      <c r="OPW3" s="270"/>
      <c r="OPX3" s="272"/>
      <c r="OPY3" s="270"/>
      <c r="OPZ3" s="272"/>
      <c r="OQA3" s="270"/>
      <c r="OQB3" s="272"/>
      <c r="OQC3" s="270"/>
      <c r="OQD3" s="272"/>
      <c r="OQE3" s="270"/>
      <c r="OQF3" s="272"/>
      <c r="OQG3" s="270"/>
      <c r="OQH3" s="272"/>
      <c r="OQI3" s="270"/>
      <c r="OQJ3" s="272"/>
      <c r="OQK3" s="270"/>
      <c r="OQL3" s="272"/>
      <c r="OQM3" s="270"/>
      <c r="OQN3" s="272"/>
      <c r="OQO3" s="270"/>
      <c r="OQP3" s="272"/>
      <c r="OQQ3" s="270"/>
      <c r="OQR3" s="272"/>
      <c r="OQS3" s="270"/>
      <c r="OQT3" s="272"/>
      <c r="OQU3" s="270"/>
      <c r="OQV3" s="272"/>
      <c r="OQW3" s="270"/>
      <c r="OQX3" s="272"/>
      <c r="OQY3" s="270"/>
      <c r="OQZ3" s="272"/>
      <c r="ORA3" s="270"/>
      <c r="ORB3" s="272"/>
      <c r="ORC3" s="270"/>
      <c r="ORD3" s="272"/>
      <c r="ORE3" s="270"/>
      <c r="ORF3" s="272"/>
      <c r="ORG3" s="270"/>
      <c r="ORH3" s="272"/>
      <c r="ORI3" s="270"/>
      <c r="ORJ3" s="272"/>
      <c r="ORK3" s="270"/>
      <c r="ORL3" s="272"/>
      <c r="ORM3" s="270"/>
      <c r="ORN3" s="272"/>
      <c r="ORO3" s="270"/>
      <c r="ORP3" s="272"/>
      <c r="ORQ3" s="270"/>
      <c r="ORR3" s="272"/>
      <c r="ORS3" s="270"/>
      <c r="ORT3" s="272"/>
      <c r="ORU3" s="270"/>
      <c r="ORV3" s="272"/>
      <c r="ORW3" s="270"/>
      <c r="ORX3" s="272"/>
      <c r="ORY3" s="270"/>
      <c r="ORZ3" s="272"/>
      <c r="OSA3" s="270"/>
      <c r="OSB3" s="272"/>
      <c r="OSC3" s="270"/>
      <c r="OSD3" s="272"/>
      <c r="OSE3" s="270"/>
      <c r="OSF3" s="272"/>
      <c r="OSG3" s="270"/>
      <c r="OSH3" s="272"/>
      <c r="OSI3" s="270"/>
      <c r="OSJ3" s="272"/>
      <c r="OSK3" s="270"/>
      <c r="OSL3" s="272"/>
      <c r="OSM3" s="270"/>
      <c r="OSN3" s="272"/>
      <c r="OSO3" s="270"/>
      <c r="OSP3" s="272"/>
      <c r="OSQ3" s="270"/>
      <c r="OSR3" s="272"/>
      <c r="OSS3" s="270"/>
      <c r="OST3" s="272"/>
      <c r="OSU3" s="270"/>
      <c r="OSV3" s="272"/>
      <c r="OSW3" s="270"/>
      <c r="OSX3" s="272"/>
      <c r="OSY3" s="270"/>
      <c r="OSZ3" s="272"/>
      <c r="OTA3" s="270"/>
      <c r="OTB3" s="272"/>
      <c r="OTC3" s="270"/>
      <c r="OTD3" s="272"/>
      <c r="OTE3" s="270"/>
      <c r="OTF3" s="272"/>
      <c r="OTG3" s="270"/>
      <c r="OTH3" s="272"/>
      <c r="OTI3" s="270"/>
      <c r="OTJ3" s="272"/>
      <c r="OTK3" s="270"/>
      <c r="OTL3" s="272"/>
      <c r="OTM3" s="270"/>
      <c r="OTN3" s="272"/>
      <c r="OTO3" s="270"/>
      <c r="OTP3" s="272"/>
      <c r="OTQ3" s="270"/>
      <c r="OTR3" s="272"/>
      <c r="OTS3" s="270"/>
      <c r="OTT3" s="272"/>
      <c r="OTU3" s="270"/>
      <c r="OTV3" s="272"/>
      <c r="OTW3" s="270"/>
      <c r="OTX3" s="272"/>
      <c r="OTY3" s="270"/>
      <c r="OTZ3" s="272"/>
      <c r="OUA3" s="270"/>
      <c r="OUB3" s="272"/>
      <c r="OUC3" s="270"/>
      <c r="OUD3" s="272"/>
      <c r="OUE3" s="270"/>
      <c r="OUF3" s="272"/>
      <c r="OUG3" s="270"/>
      <c r="OUH3" s="272"/>
      <c r="OUI3" s="270"/>
      <c r="OUJ3" s="272"/>
      <c r="OUK3" s="270"/>
      <c r="OUL3" s="272"/>
      <c r="OUM3" s="270"/>
      <c r="OUN3" s="272"/>
      <c r="OUO3" s="270"/>
      <c r="OUP3" s="272"/>
      <c r="OUQ3" s="270"/>
      <c r="OUR3" s="272"/>
      <c r="OUS3" s="270"/>
      <c r="OUT3" s="272"/>
      <c r="OUU3" s="270"/>
      <c r="OUV3" s="272"/>
      <c r="OUW3" s="270"/>
      <c r="OUX3" s="272"/>
      <c r="OUY3" s="270"/>
      <c r="OUZ3" s="272"/>
      <c r="OVA3" s="270"/>
      <c r="OVB3" s="272"/>
      <c r="OVC3" s="270"/>
      <c r="OVD3" s="272"/>
      <c r="OVE3" s="270"/>
      <c r="OVF3" s="272"/>
      <c r="OVG3" s="270"/>
      <c r="OVH3" s="272"/>
      <c r="OVI3" s="270"/>
      <c r="OVJ3" s="272"/>
      <c r="OVK3" s="270"/>
      <c r="OVL3" s="272"/>
      <c r="OVM3" s="270"/>
      <c r="OVN3" s="272"/>
      <c r="OVO3" s="270"/>
      <c r="OVP3" s="272"/>
      <c r="OVQ3" s="270"/>
      <c r="OVR3" s="272"/>
      <c r="OVS3" s="270"/>
      <c r="OVT3" s="272"/>
      <c r="OVU3" s="270"/>
      <c r="OVV3" s="272"/>
      <c r="OVW3" s="270"/>
      <c r="OVX3" s="272"/>
      <c r="OVY3" s="270"/>
      <c r="OVZ3" s="272"/>
      <c r="OWA3" s="270"/>
      <c r="OWB3" s="272"/>
      <c r="OWC3" s="270"/>
      <c r="OWD3" s="272"/>
      <c r="OWE3" s="270"/>
      <c r="OWF3" s="272"/>
      <c r="OWG3" s="270"/>
      <c r="OWH3" s="272"/>
      <c r="OWI3" s="270"/>
      <c r="OWJ3" s="272"/>
      <c r="OWK3" s="270"/>
      <c r="OWL3" s="272"/>
      <c r="OWM3" s="270"/>
      <c r="OWN3" s="272"/>
      <c r="OWO3" s="270"/>
      <c r="OWP3" s="272"/>
      <c r="OWQ3" s="270"/>
      <c r="OWR3" s="272"/>
      <c r="OWS3" s="270"/>
      <c r="OWT3" s="272"/>
      <c r="OWU3" s="270"/>
      <c r="OWV3" s="272"/>
      <c r="OWW3" s="270"/>
      <c r="OWX3" s="272"/>
      <c r="OWY3" s="270"/>
      <c r="OWZ3" s="272"/>
      <c r="OXA3" s="270"/>
      <c r="OXB3" s="272"/>
      <c r="OXC3" s="270"/>
      <c r="OXD3" s="272"/>
      <c r="OXE3" s="270"/>
      <c r="OXF3" s="272"/>
      <c r="OXG3" s="270"/>
      <c r="OXH3" s="272"/>
      <c r="OXI3" s="270"/>
      <c r="OXJ3" s="272"/>
      <c r="OXK3" s="270"/>
      <c r="OXL3" s="272"/>
      <c r="OXM3" s="270"/>
      <c r="OXN3" s="272"/>
      <c r="OXO3" s="270"/>
      <c r="OXP3" s="272"/>
      <c r="OXQ3" s="270"/>
      <c r="OXR3" s="272"/>
      <c r="OXS3" s="270"/>
      <c r="OXT3" s="272"/>
      <c r="OXU3" s="270"/>
      <c r="OXV3" s="272"/>
      <c r="OXW3" s="270"/>
      <c r="OXX3" s="272"/>
      <c r="OXY3" s="270"/>
      <c r="OXZ3" s="272"/>
      <c r="OYA3" s="270"/>
      <c r="OYB3" s="272"/>
      <c r="OYC3" s="270"/>
      <c r="OYD3" s="272"/>
      <c r="OYE3" s="270"/>
      <c r="OYF3" s="272"/>
      <c r="OYG3" s="270"/>
      <c r="OYH3" s="272"/>
      <c r="OYI3" s="270"/>
      <c r="OYJ3" s="272"/>
      <c r="OYK3" s="270"/>
      <c r="OYL3" s="272"/>
      <c r="OYM3" s="270"/>
      <c r="OYN3" s="272"/>
      <c r="OYO3" s="270"/>
      <c r="OYP3" s="272"/>
      <c r="OYQ3" s="270"/>
      <c r="OYR3" s="272"/>
      <c r="OYS3" s="270"/>
      <c r="OYT3" s="272"/>
      <c r="OYU3" s="270"/>
      <c r="OYV3" s="272"/>
      <c r="OYW3" s="270"/>
      <c r="OYX3" s="272"/>
      <c r="OYY3" s="270"/>
      <c r="OYZ3" s="272"/>
      <c r="OZA3" s="270"/>
      <c r="OZB3" s="272"/>
      <c r="OZC3" s="270"/>
      <c r="OZD3" s="272"/>
      <c r="OZE3" s="270"/>
      <c r="OZF3" s="272"/>
      <c r="OZG3" s="270"/>
      <c r="OZH3" s="272"/>
      <c r="OZI3" s="270"/>
      <c r="OZJ3" s="272"/>
      <c r="OZK3" s="270"/>
      <c r="OZL3" s="272"/>
      <c r="OZM3" s="270"/>
      <c r="OZN3" s="272"/>
      <c r="OZO3" s="270"/>
      <c r="OZP3" s="272"/>
      <c r="OZQ3" s="270"/>
      <c r="OZR3" s="272"/>
      <c r="OZS3" s="270"/>
      <c r="OZT3" s="272"/>
      <c r="OZU3" s="270"/>
      <c r="OZV3" s="272"/>
      <c r="OZW3" s="270"/>
      <c r="OZX3" s="272"/>
      <c r="OZY3" s="270"/>
      <c r="OZZ3" s="272"/>
      <c r="PAA3" s="270"/>
      <c r="PAB3" s="272"/>
      <c r="PAC3" s="270"/>
      <c r="PAD3" s="272"/>
      <c r="PAE3" s="270"/>
      <c r="PAF3" s="272"/>
      <c r="PAG3" s="270"/>
      <c r="PAH3" s="272"/>
      <c r="PAI3" s="270"/>
      <c r="PAJ3" s="272"/>
      <c r="PAK3" s="270"/>
      <c r="PAL3" s="272"/>
      <c r="PAM3" s="270"/>
      <c r="PAN3" s="272"/>
      <c r="PAO3" s="270"/>
      <c r="PAP3" s="272"/>
      <c r="PAQ3" s="270"/>
      <c r="PAR3" s="272"/>
      <c r="PAS3" s="270"/>
      <c r="PAT3" s="272"/>
      <c r="PAU3" s="270"/>
      <c r="PAV3" s="272"/>
      <c r="PAW3" s="270"/>
      <c r="PAX3" s="272"/>
      <c r="PAY3" s="270"/>
      <c r="PAZ3" s="272"/>
      <c r="PBA3" s="270"/>
      <c r="PBB3" s="272"/>
      <c r="PBC3" s="270"/>
      <c r="PBD3" s="272"/>
      <c r="PBE3" s="270"/>
      <c r="PBF3" s="272"/>
      <c r="PBG3" s="270"/>
      <c r="PBH3" s="272"/>
      <c r="PBI3" s="270"/>
      <c r="PBJ3" s="272"/>
      <c r="PBK3" s="270"/>
      <c r="PBL3" s="272"/>
      <c r="PBM3" s="270"/>
      <c r="PBN3" s="272"/>
      <c r="PBO3" s="270"/>
      <c r="PBP3" s="272"/>
      <c r="PBQ3" s="270"/>
      <c r="PBR3" s="272"/>
      <c r="PBS3" s="270"/>
      <c r="PBT3" s="272"/>
      <c r="PBU3" s="270"/>
      <c r="PBV3" s="272"/>
      <c r="PBW3" s="270"/>
      <c r="PBX3" s="272"/>
      <c r="PBY3" s="270"/>
      <c r="PBZ3" s="272"/>
      <c r="PCA3" s="270"/>
      <c r="PCB3" s="272"/>
      <c r="PCC3" s="270"/>
      <c r="PCD3" s="272"/>
      <c r="PCE3" s="270"/>
      <c r="PCF3" s="272"/>
      <c r="PCG3" s="270"/>
      <c r="PCH3" s="272"/>
      <c r="PCI3" s="270"/>
      <c r="PCJ3" s="272"/>
      <c r="PCK3" s="270"/>
      <c r="PCL3" s="272"/>
      <c r="PCM3" s="270"/>
      <c r="PCN3" s="272"/>
      <c r="PCO3" s="270"/>
      <c r="PCP3" s="272"/>
      <c r="PCQ3" s="270"/>
      <c r="PCR3" s="272"/>
      <c r="PCS3" s="270"/>
      <c r="PCT3" s="272"/>
      <c r="PCU3" s="270"/>
      <c r="PCV3" s="272"/>
      <c r="PCW3" s="270"/>
      <c r="PCX3" s="272"/>
      <c r="PCY3" s="270"/>
      <c r="PCZ3" s="272"/>
      <c r="PDA3" s="270"/>
      <c r="PDB3" s="272"/>
      <c r="PDC3" s="270"/>
      <c r="PDD3" s="272"/>
      <c r="PDE3" s="270"/>
      <c r="PDF3" s="272"/>
      <c r="PDG3" s="270"/>
      <c r="PDH3" s="272"/>
      <c r="PDI3" s="270"/>
      <c r="PDJ3" s="272"/>
      <c r="PDK3" s="270"/>
      <c r="PDL3" s="272"/>
      <c r="PDM3" s="270"/>
      <c r="PDN3" s="272"/>
      <c r="PDO3" s="270"/>
      <c r="PDP3" s="272"/>
      <c r="PDQ3" s="270"/>
      <c r="PDR3" s="272"/>
      <c r="PDS3" s="270"/>
      <c r="PDT3" s="272"/>
      <c r="PDU3" s="270"/>
      <c r="PDV3" s="272"/>
      <c r="PDW3" s="270"/>
      <c r="PDX3" s="272"/>
      <c r="PDY3" s="270"/>
      <c r="PDZ3" s="272"/>
      <c r="PEA3" s="270"/>
      <c r="PEB3" s="272"/>
      <c r="PEC3" s="270"/>
      <c r="PED3" s="272"/>
      <c r="PEE3" s="270"/>
      <c r="PEF3" s="272"/>
      <c r="PEG3" s="270"/>
      <c r="PEH3" s="272"/>
      <c r="PEI3" s="270"/>
      <c r="PEJ3" s="272"/>
      <c r="PEK3" s="270"/>
      <c r="PEL3" s="272"/>
      <c r="PEM3" s="270"/>
      <c r="PEN3" s="272"/>
      <c r="PEO3" s="270"/>
      <c r="PEP3" s="272"/>
      <c r="PEQ3" s="270"/>
      <c r="PER3" s="272"/>
      <c r="PES3" s="270"/>
      <c r="PET3" s="272"/>
      <c r="PEU3" s="270"/>
      <c r="PEV3" s="272"/>
      <c r="PEW3" s="270"/>
      <c r="PEX3" s="272"/>
      <c r="PEY3" s="270"/>
      <c r="PEZ3" s="272"/>
      <c r="PFA3" s="270"/>
      <c r="PFB3" s="272"/>
      <c r="PFC3" s="270"/>
      <c r="PFD3" s="272"/>
      <c r="PFE3" s="270"/>
      <c r="PFF3" s="272"/>
      <c r="PFG3" s="270"/>
      <c r="PFH3" s="272"/>
      <c r="PFI3" s="270"/>
      <c r="PFJ3" s="272"/>
      <c r="PFK3" s="270"/>
      <c r="PFL3" s="272"/>
      <c r="PFM3" s="270"/>
      <c r="PFN3" s="272"/>
      <c r="PFO3" s="270"/>
      <c r="PFP3" s="272"/>
      <c r="PFQ3" s="270"/>
      <c r="PFR3" s="272"/>
      <c r="PFS3" s="270"/>
      <c r="PFT3" s="272"/>
      <c r="PFU3" s="270"/>
      <c r="PFV3" s="272"/>
      <c r="PFW3" s="270"/>
      <c r="PFX3" s="272"/>
      <c r="PFY3" s="270"/>
      <c r="PFZ3" s="272"/>
      <c r="PGA3" s="270"/>
      <c r="PGB3" s="272"/>
      <c r="PGC3" s="270"/>
      <c r="PGD3" s="272"/>
      <c r="PGE3" s="270"/>
      <c r="PGF3" s="272"/>
      <c r="PGG3" s="270"/>
      <c r="PGH3" s="272"/>
      <c r="PGI3" s="270"/>
      <c r="PGJ3" s="272"/>
      <c r="PGK3" s="270"/>
      <c r="PGL3" s="272"/>
      <c r="PGM3" s="270"/>
      <c r="PGN3" s="272"/>
      <c r="PGO3" s="270"/>
      <c r="PGP3" s="272"/>
      <c r="PGQ3" s="270"/>
      <c r="PGR3" s="272"/>
      <c r="PGS3" s="270"/>
      <c r="PGT3" s="272"/>
      <c r="PGU3" s="270"/>
      <c r="PGV3" s="272"/>
      <c r="PGW3" s="270"/>
      <c r="PGX3" s="272"/>
      <c r="PGY3" s="270"/>
      <c r="PGZ3" s="272"/>
      <c r="PHA3" s="270"/>
      <c r="PHB3" s="272"/>
      <c r="PHC3" s="270"/>
      <c r="PHD3" s="272"/>
      <c r="PHE3" s="270"/>
      <c r="PHF3" s="272"/>
      <c r="PHG3" s="270"/>
      <c r="PHH3" s="272"/>
      <c r="PHI3" s="270"/>
      <c r="PHJ3" s="272"/>
      <c r="PHK3" s="270"/>
      <c r="PHL3" s="272"/>
      <c r="PHM3" s="270"/>
      <c r="PHN3" s="272"/>
      <c r="PHO3" s="270"/>
      <c r="PHP3" s="272"/>
      <c r="PHQ3" s="270"/>
      <c r="PHR3" s="272"/>
      <c r="PHS3" s="270"/>
      <c r="PHT3" s="272"/>
      <c r="PHU3" s="270"/>
      <c r="PHV3" s="272"/>
      <c r="PHW3" s="270"/>
      <c r="PHX3" s="272"/>
      <c r="PHY3" s="270"/>
      <c r="PHZ3" s="272"/>
      <c r="PIA3" s="270"/>
      <c r="PIB3" s="272"/>
      <c r="PIC3" s="270"/>
      <c r="PID3" s="272"/>
      <c r="PIE3" s="270"/>
      <c r="PIF3" s="272"/>
      <c r="PIG3" s="270"/>
      <c r="PIH3" s="272"/>
      <c r="PII3" s="270"/>
      <c r="PIJ3" s="272"/>
      <c r="PIK3" s="270"/>
      <c r="PIL3" s="272"/>
      <c r="PIM3" s="270"/>
      <c r="PIN3" s="272"/>
      <c r="PIO3" s="270"/>
      <c r="PIP3" s="272"/>
      <c r="PIQ3" s="270"/>
      <c r="PIR3" s="272"/>
      <c r="PIS3" s="270"/>
      <c r="PIT3" s="272"/>
      <c r="PIU3" s="270"/>
      <c r="PIV3" s="272"/>
      <c r="PIW3" s="270"/>
      <c r="PIX3" s="272"/>
      <c r="PIY3" s="270"/>
      <c r="PIZ3" s="272"/>
      <c r="PJA3" s="270"/>
      <c r="PJB3" s="272"/>
      <c r="PJC3" s="270"/>
      <c r="PJD3" s="272"/>
      <c r="PJE3" s="270"/>
      <c r="PJF3" s="272"/>
      <c r="PJG3" s="270"/>
      <c r="PJH3" s="272"/>
      <c r="PJI3" s="270"/>
      <c r="PJJ3" s="272"/>
      <c r="PJK3" s="270"/>
      <c r="PJL3" s="272"/>
      <c r="PJM3" s="270"/>
      <c r="PJN3" s="272"/>
      <c r="PJO3" s="270"/>
      <c r="PJP3" s="272"/>
      <c r="PJQ3" s="270"/>
      <c r="PJR3" s="272"/>
      <c r="PJS3" s="270"/>
      <c r="PJT3" s="272"/>
      <c r="PJU3" s="270"/>
      <c r="PJV3" s="272"/>
      <c r="PJW3" s="270"/>
      <c r="PJX3" s="272"/>
      <c r="PJY3" s="270"/>
      <c r="PJZ3" s="272"/>
      <c r="PKA3" s="270"/>
      <c r="PKB3" s="272"/>
      <c r="PKC3" s="270"/>
      <c r="PKD3" s="272"/>
      <c r="PKE3" s="270"/>
      <c r="PKF3" s="272"/>
      <c r="PKG3" s="270"/>
      <c r="PKH3" s="272"/>
      <c r="PKI3" s="270"/>
      <c r="PKJ3" s="272"/>
      <c r="PKK3" s="270"/>
      <c r="PKL3" s="272"/>
      <c r="PKM3" s="270"/>
      <c r="PKN3" s="272"/>
      <c r="PKO3" s="270"/>
      <c r="PKP3" s="272"/>
      <c r="PKQ3" s="270"/>
      <c r="PKR3" s="272"/>
      <c r="PKS3" s="270"/>
      <c r="PKT3" s="272"/>
      <c r="PKU3" s="270"/>
      <c r="PKV3" s="272"/>
      <c r="PKW3" s="270"/>
      <c r="PKX3" s="272"/>
      <c r="PKY3" s="270"/>
      <c r="PKZ3" s="272"/>
      <c r="PLA3" s="270"/>
      <c r="PLB3" s="272"/>
      <c r="PLC3" s="270"/>
      <c r="PLD3" s="272"/>
      <c r="PLE3" s="270"/>
      <c r="PLF3" s="272"/>
      <c r="PLG3" s="270"/>
      <c r="PLH3" s="272"/>
      <c r="PLI3" s="270"/>
      <c r="PLJ3" s="272"/>
      <c r="PLK3" s="270"/>
      <c r="PLL3" s="272"/>
      <c r="PLM3" s="270"/>
      <c r="PLN3" s="272"/>
      <c r="PLO3" s="270"/>
      <c r="PLP3" s="272"/>
      <c r="PLQ3" s="270"/>
      <c r="PLR3" s="272"/>
      <c r="PLS3" s="270"/>
      <c r="PLT3" s="272"/>
      <c r="PLU3" s="270"/>
      <c r="PLV3" s="272"/>
      <c r="PLW3" s="270"/>
      <c r="PLX3" s="272"/>
      <c r="PLY3" s="270"/>
      <c r="PLZ3" s="272"/>
      <c r="PMA3" s="270"/>
      <c r="PMB3" s="272"/>
      <c r="PMC3" s="270"/>
      <c r="PMD3" s="272"/>
      <c r="PME3" s="270"/>
      <c r="PMF3" s="272"/>
      <c r="PMG3" s="270"/>
      <c r="PMH3" s="272"/>
      <c r="PMI3" s="270"/>
      <c r="PMJ3" s="272"/>
      <c r="PMK3" s="270"/>
      <c r="PML3" s="272"/>
      <c r="PMM3" s="270"/>
      <c r="PMN3" s="272"/>
      <c r="PMO3" s="270"/>
      <c r="PMP3" s="272"/>
      <c r="PMQ3" s="270"/>
      <c r="PMR3" s="272"/>
      <c r="PMS3" s="270"/>
      <c r="PMT3" s="272"/>
      <c r="PMU3" s="270"/>
      <c r="PMV3" s="272"/>
      <c r="PMW3" s="270"/>
      <c r="PMX3" s="272"/>
      <c r="PMY3" s="270"/>
      <c r="PMZ3" s="272"/>
      <c r="PNA3" s="270"/>
      <c r="PNB3" s="272"/>
      <c r="PNC3" s="270"/>
      <c r="PND3" s="272"/>
      <c r="PNE3" s="270"/>
      <c r="PNF3" s="272"/>
      <c r="PNG3" s="270"/>
      <c r="PNH3" s="272"/>
      <c r="PNI3" s="270"/>
      <c r="PNJ3" s="272"/>
      <c r="PNK3" s="270"/>
      <c r="PNL3" s="272"/>
      <c r="PNM3" s="270"/>
      <c r="PNN3" s="272"/>
      <c r="PNO3" s="270"/>
      <c r="PNP3" s="272"/>
      <c r="PNQ3" s="270"/>
      <c r="PNR3" s="272"/>
      <c r="PNS3" s="270"/>
      <c r="PNT3" s="272"/>
      <c r="PNU3" s="270"/>
      <c r="PNV3" s="272"/>
      <c r="PNW3" s="270"/>
      <c r="PNX3" s="272"/>
      <c r="PNY3" s="270"/>
      <c r="PNZ3" s="272"/>
      <c r="POA3" s="270"/>
      <c r="POB3" s="272"/>
      <c r="POC3" s="270"/>
      <c r="POD3" s="272"/>
      <c r="POE3" s="270"/>
      <c r="POF3" s="272"/>
      <c r="POG3" s="270"/>
      <c r="POH3" s="272"/>
      <c r="POI3" s="270"/>
      <c r="POJ3" s="272"/>
      <c r="POK3" s="270"/>
      <c r="POL3" s="272"/>
      <c r="POM3" s="270"/>
      <c r="PON3" s="272"/>
      <c r="POO3" s="270"/>
      <c r="POP3" s="272"/>
      <c r="POQ3" s="270"/>
      <c r="POR3" s="272"/>
      <c r="POS3" s="270"/>
      <c r="POT3" s="272"/>
      <c r="POU3" s="270"/>
      <c r="POV3" s="272"/>
      <c r="POW3" s="270"/>
      <c r="POX3" s="272"/>
      <c r="POY3" s="270"/>
      <c r="POZ3" s="272"/>
      <c r="PPA3" s="270"/>
      <c r="PPB3" s="272"/>
      <c r="PPC3" s="270"/>
      <c r="PPD3" s="272"/>
      <c r="PPE3" s="270"/>
      <c r="PPF3" s="272"/>
      <c r="PPG3" s="270"/>
      <c r="PPH3" s="272"/>
      <c r="PPI3" s="270"/>
      <c r="PPJ3" s="272"/>
      <c r="PPK3" s="270"/>
      <c r="PPL3" s="272"/>
      <c r="PPM3" s="270"/>
      <c r="PPN3" s="272"/>
      <c r="PPO3" s="270"/>
      <c r="PPP3" s="272"/>
      <c r="PPQ3" s="270"/>
      <c r="PPR3" s="272"/>
      <c r="PPS3" s="270"/>
      <c r="PPT3" s="272"/>
      <c r="PPU3" s="270"/>
      <c r="PPV3" s="272"/>
      <c r="PPW3" s="270"/>
      <c r="PPX3" s="272"/>
      <c r="PPY3" s="270"/>
      <c r="PPZ3" s="272"/>
      <c r="PQA3" s="270"/>
      <c r="PQB3" s="272"/>
      <c r="PQC3" s="270"/>
      <c r="PQD3" s="272"/>
      <c r="PQE3" s="270"/>
      <c r="PQF3" s="272"/>
      <c r="PQG3" s="270"/>
      <c r="PQH3" s="272"/>
      <c r="PQI3" s="270"/>
      <c r="PQJ3" s="272"/>
      <c r="PQK3" s="270"/>
      <c r="PQL3" s="272"/>
      <c r="PQM3" s="270"/>
      <c r="PQN3" s="272"/>
      <c r="PQO3" s="270"/>
      <c r="PQP3" s="272"/>
      <c r="PQQ3" s="270"/>
      <c r="PQR3" s="272"/>
      <c r="PQS3" s="270"/>
      <c r="PQT3" s="272"/>
      <c r="PQU3" s="270"/>
      <c r="PQV3" s="272"/>
      <c r="PQW3" s="270"/>
      <c r="PQX3" s="272"/>
      <c r="PQY3" s="270"/>
      <c r="PQZ3" s="272"/>
      <c r="PRA3" s="270"/>
      <c r="PRB3" s="272"/>
      <c r="PRC3" s="270"/>
      <c r="PRD3" s="272"/>
      <c r="PRE3" s="270"/>
      <c r="PRF3" s="272"/>
      <c r="PRG3" s="270"/>
      <c r="PRH3" s="272"/>
      <c r="PRI3" s="270"/>
      <c r="PRJ3" s="272"/>
      <c r="PRK3" s="270"/>
      <c r="PRL3" s="272"/>
      <c r="PRM3" s="270"/>
      <c r="PRN3" s="272"/>
      <c r="PRO3" s="270"/>
      <c r="PRP3" s="272"/>
      <c r="PRQ3" s="270"/>
      <c r="PRR3" s="272"/>
      <c r="PRS3" s="270"/>
      <c r="PRT3" s="272"/>
      <c r="PRU3" s="270"/>
      <c r="PRV3" s="272"/>
      <c r="PRW3" s="270"/>
      <c r="PRX3" s="272"/>
      <c r="PRY3" s="270"/>
      <c r="PRZ3" s="272"/>
      <c r="PSA3" s="270"/>
      <c r="PSB3" s="272"/>
      <c r="PSC3" s="270"/>
      <c r="PSD3" s="272"/>
      <c r="PSE3" s="270"/>
      <c r="PSF3" s="272"/>
      <c r="PSG3" s="270"/>
      <c r="PSH3" s="272"/>
      <c r="PSI3" s="270"/>
      <c r="PSJ3" s="272"/>
      <c r="PSK3" s="270"/>
      <c r="PSL3" s="272"/>
      <c r="PSM3" s="270"/>
      <c r="PSN3" s="272"/>
      <c r="PSO3" s="270"/>
      <c r="PSP3" s="272"/>
      <c r="PSQ3" s="270"/>
      <c r="PSR3" s="272"/>
      <c r="PSS3" s="270"/>
      <c r="PST3" s="272"/>
      <c r="PSU3" s="270"/>
      <c r="PSV3" s="272"/>
      <c r="PSW3" s="270"/>
      <c r="PSX3" s="272"/>
      <c r="PSY3" s="270"/>
      <c r="PSZ3" s="272"/>
      <c r="PTA3" s="270"/>
      <c r="PTB3" s="272"/>
      <c r="PTC3" s="270"/>
      <c r="PTD3" s="272"/>
      <c r="PTE3" s="270"/>
      <c r="PTF3" s="272"/>
      <c r="PTG3" s="270"/>
      <c r="PTH3" s="272"/>
      <c r="PTI3" s="270"/>
      <c r="PTJ3" s="272"/>
      <c r="PTK3" s="270"/>
      <c r="PTL3" s="272"/>
      <c r="PTM3" s="270"/>
      <c r="PTN3" s="272"/>
      <c r="PTO3" s="270"/>
      <c r="PTP3" s="272"/>
      <c r="PTQ3" s="270"/>
      <c r="PTR3" s="272"/>
      <c r="PTS3" s="270"/>
      <c r="PTT3" s="272"/>
      <c r="PTU3" s="270"/>
      <c r="PTV3" s="272"/>
      <c r="PTW3" s="270"/>
      <c r="PTX3" s="272"/>
      <c r="PTY3" s="270"/>
      <c r="PTZ3" s="272"/>
      <c r="PUA3" s="270"/>
      <c r="PUB3" s="272"/>
      <c r="PUC3" s="270"/>
      <c r="PUD3" s="272"/>
      <c r="PUE3" s="270"/>
      <c r="PUF3" s="272"/>
      <c r="PUG3" s="270"/>
      <c r="PUH3" s="272"/>
      <c r="PUI3" s="270"/>
      <c r="PUJ3" s="272"/>
      <c r="PUK3" s="270"/>
      <c r="PUL3" s="272"/>
      <c r="PUM3" s="270"/>
      <c r="PUN3" s="272"/>
      <c r="PUO3" s="270"/>
      <c r="PUP3" s="272"/>
      <c r="PUQ3" s="270"/>
      <c r="PUR3" s="272"/>
      <c r="PUS3" s="270"/>
      <c r="PUT3" s="272"/>
      <c r="PUU3" s="270"/>
      <c r="PUV3" s="272"/>
      <c r="PUW3" s="270"/>
      <c r="PUX3" s="272"/>
      <c r="PUY3" s="270"/>
      <c r="PUZ3" s="272"/>
      <c r="PVA3" s="270"/>
      <c r="PVB3" s="272"/>
      <c r="PVC3" s="270"/>
      <c r="PVD3" s="272"/>
      <c r="PVE3" s="270"/>
      <c r="PVF3" s="272"/>
      <c r="PVG3" s="270"/>
      <c r="PVH3" s="272"/>
      <c r="PVI3" s="270"/>
      <c r="PVJ3" s="272"/>
      <c r="PVK3" s="270"/>
      <c r="PVL3" s="272"/>
      <c r="PVM3" s="270"/>
      <c r="PVN3" s="272"/>
      <c r="PVO3" s="270"/>
      <c r="PVP3" s="272"/>
      <c r="PVQ3" s="270"/>
      <c r="PVR3" s="272"/>
      <c r="PVS3" s="270"/>
      <c r="PVT3" s="272"/>
      <c r="PVU3" s="270"/>
      <c r="PVV3" s="272"/>
      <c r="PVW3" s="270"/>
      <c r="PVX3" s="272"/>
      <c r="PVY3" s="270"/>
      <c r="PVZ3" s="272"/>
      <c r="PWA3" s="270"/>
      <c r="PWB3" s="272"/>
      <c r="PWC3" s="270"/>
      <c r="PWD3" s="272"/>
      <c r="PWE3" s="270"/>
      <c r="PWF3" s="272"/>
      <c r="PWG3" s="270"/>
      <c r="PWH3" s="272"/>
      <c r="PWI3" s="270"/>
      <c r="PWJ3" s="272"/>
      <c r="PWK3" s="270"/>
      <c r="PWL3" s="272"/>
      <c r="PWM3" s="270"/>
      <c r="PWN3" s="272"/>
      <c r="PWO3" s="270"/>
      <c r="PWP3" s="272"/>
      <c r="PWQ3" s="270"/>
      <c r="PWR3" s="272"/>
      <c r="PWS3" s="270"/>
      <c r="PWT3" s="272"/>
      <c r="PWU3" s="270"/>
      <c r="PWV3" s="272"/>
      <c r="PWW3" s="270"/>
      <c r="PWX3" s="272"/>
      <c r="PWY3" s="270"/>
      <c r="PWZ3" s="272"/>
      <c r="PXA3" s="270"/>
      <c r="PXB3" s="272"/>
      <c r="PXC3" s="270"/>
      <c r="PXD3" s="272"/>
      <c r="PXE3" s="270"/>
      <c r="PXF3" s="272"/>
      <c r="PXG3" s="270"/>
      <c r="PXH3" s="272"/>
      <c r="PXI3" s="270"/>
      <c r="PXJ3" s="272"/>
      <c r="PXK3" s="270"/>
      <c r="PXL3" s="272"/>
      <c r="PXM3" s="270"/>
      <c r="PXN3" s="272"/>
      <c r="PXO3" s="270"/>
      <c r="PXP3" s="272"/>
      <c r="PXQ3" s="270"/>
      <c r="PXR3" s="272"/>
      <c r="PXS3" s="270"/>
      <c r="PXT3" s="272"/>
      <c r="PXU3" s="270"/>
      <c r="PXV3" s="272"/>
      <c r="PXW3" s="270"/>
      <c r="PXX3" s="272"/>
      <c r="PXY3" s="270"/>
      <c r="PXZ3" s="272"/>
      <c r="PYA3" s="270"/>
      <c r="PYB3" s="272"/>
      <c r="PYC3" s="270"/>
      <c r="PYD3" s="272"/>
      <c r="PYE3" s="270"/>
      <c r="PYF3" s="272"/>
      <c r="PYG3" s="270"/>
      <c r="PYH3" s="272"/>
      <c r="PYI3" s="270"/>
      <c r="PYJ3" s="272"/>
      <c r="PYK3" s="270"/>
      <c r="PYL3" s="272"/>
      <c r="PYM3" s="270"/>
      <c r="PYN3" s="272"/>
      <c r="PYO3" s="270"/>
      <c r="PYP3" s="272"/>
      <c r="PYQ3" s="270"/>
      <c r="PYR3" s="272"/>
      <c r="PYS3" s="270"/>
      <c r="PYT3" s="272"/>
      <c r="PYU3" s="270"/>
      <c r="PYV3" s="272"/>
      <c r="PYW3" s="270"/>
      <c r="PYX3" s="272"/>
      <c r="PYY3" s="270"/>
      <c r="PYZ3" s="272"/>
      <c r="PZA3" s="270"/>
      <c r="PZB3" s="272"/>
      <c r="PZC3" s="270"/>
      <c r="PZD3" s="272"/>
      <c r="PZE3" s="270"/>
      <c r="PZF3" s="272"/>
      <c r="PZG3" s="270"/>
      <c r="PZH3" s="272"/>
      <c r="PZI3" s="270"/>
      <c r="PZJ3" s="272"/>
      <c r="PZK3" s="270"/>
      <c r="PZL3" s="272"/>
      <c r="PZM3" s="270"/>
      <c r="PZN3" s="272"/>
      <c r="PZO3" s="270"/>
      <c r="PZP3" s="272"/>
      <c r="PZQ3" s="270"/>
      <c r="PZR3" s="272"/>
      <c r="PZS3" s="270"/>
      <c r="PZT3" s="272"/>
      <c r="PZU3" s="270"/>
      <c r="PZV3" s="272"/>
      <c r="PZW3" s="270"/>
      <c r="PZX3" s="272"/>
      <c r="PZY3" s="270"/>
      <c r="PZZ3" s="272"/>
      <c r="QAA3" s="270"/>
      <c r="QAB3" s="272"/>
      <c r="QAC3" s="270"/>
      <c r="QAD3" s="272"/>
      <c r="QAE3" s="270"/>
      <c r="QAF3" s="272"/>
      <c r="QAG3" s="270"/>
      <c r="QAH3" s="272"/>
      <c r="QAI3" s="270"/>
      <c r="QAJ3" s="272"/>
      <c r="QAK3" s="270"/>
      <c r="QAL3" s="272"/>
      <c r="QAM3" s="270"/>
      <c r="QAN3" s="272"/>
      <c r="QAO3" s="270"/>
      <c r="QAP3" s="272"/>
      <c r="QAQ3" s="270"/>
      <c r="QAR3" s="272"/>
      <c r="QAS3" s="270"/>
      <c r="QAT3" s="272"/>
      <c r="QAU3" s="270"/>
      <c r="QAV3" s="272"/>
      <c r="QAW3" s="270"/>
      <c r="QAX3" s="272"/>
      <c r="QAY3" s="270"/>
      <c r="QAZ3" s="272"/>
      <c r="QBA3" s="270"/>
      <c r="QBB3" s="272"/>
      <c r="QBC3" s="270"/>
      <c r="QBD3" s="272"/>
      <c r="QBE3" s="270"/>
      <c r="QBF3" s="272"/>
      <c r="QBG3" s="270"/>
      <c r="QBH3" s="272"/>
      <c r="QBI3" s="270"/>
      <c r="QBJ3" s="272"/>
      <c r="QBK3" s="270"/>
      <c r="QBL3" s="272"/>
      <c r="QBM3" s="270"/>
      <c r="QBN3" s="272"/>
      <c r="QBO3" s="270"/>
      <c r="QBP3" s="272"/>
      <c r="QBQ3" s="270"/>
      <c r="QBR3" s="272"/>
      <c r="QBS3" s="270"/>
      <c r="QBT3" s="272"/>
      <c r="QBU3" s="270"/>
      <c r="QBV3" s="272"/>
      <c r="QBW3" s="270"/>
      <c r="QBX3" s="272"/>
      <c r="QBY3" s="270"/>
      <c r="QBZ3" s="272"/>
      <c r="QCA3" s="270"/>
      <c r="QCB3" s="272"/>
      <c r="QCC3" s="270"/>
      <c r="QCD3" s="272"/>
      <c r="QCE3" s="270"/>
      <c r="QCF3" s="272"/>
      <c r="QCG3" s="270"/>
      <c r="QCH3" s="272"/>
      <c r="QCI3" s="270"/>
      <c r="QCJ3" s="272"/>
      <c r="QCK3" s="270"/>
      <c r="QCL3" s="272"/>
      <c r="QCM3" s="270"/>
      <c r="QCN3" s="272"/>
      <c r="QCO3" s="270"/>
      <c r="QCP3" s="272"/>
      <c r="QCQ3" s="270"/>
      <c r="QCR3" s="272"/>
      <c r="QCS3" s="270"/>
      <c r="QCT3" s="272"/>
      <c r="QCU3" s="270"/>
      <c r="QCV3" s="272"/>
      <c r="QCW3" s="270"/>
      <c r="QCX3" s="272"/>
      <c r="QCY3" s="270"/>
      <c r="QCZ3" s="272"/>
      <c r="QDA3" s="270"/>
      <c r="QDB3" s="272"/>
      <c r="QDC3" s="270"/>
      <c r="QDD3" s="272"/>
      <c r="QDE3" s="270"/>
      <c r="QDF3" s="272"/>
      <c r="QDG3" s="270"/>
      <c r="QDH3" s="272"/>
      <c r="QDI3" s="270"/>
      <c r="QDJ3" s="272"/>
      <c r="QDK3" s="270"/>
      <c r="QDL3" s="272"/>
      <c r="QDM3" s="270"/>
      <c r="QDN3" s="272"/>
      <c r="QDO3" s="270"/>
      <c r="QDP3" s="272"/>
      <c r="QDQ3" s="270"/>
      <c r="QDR3" s="272"/>
      <c r="QDS3" s="270"/>
      <c r="QDT3" s="272"/>
      <c r="QDU3" s="270"/>
      <c r="QDV3" s="272"/>
      <c r="QDW3" s="270"/>
      <c r="QDX3" s="272"/>
      <c r="QDY3" s="270"/>
      <c r="QDZ3" s="272"/>
      <c r="QEA3" s="270"/>
      <c r="QEB3" s="272"/>
      <c r="QEC3" s="270"/>
      <c r="QED3" s="272"/>
      <c r="QEE3" s="270"/>
      <c r="QEF3" s="272"/>
      <c r="QEG3" s="270"/>
      <c r="QEH3" s="272"/>
      <c r="QEI3" s="270"/>
      <c r="QEJ3" s="272"/>
      <c r="QEK3" s="270"/>
      <c r="QEL3" s="272"/>
      <c r="QEM3" s="270"/>
      <c r="QEN3" s="272"/>
      <c r="QEO3" s="270"/>
      <c r="QEP3" s="272"/>
      <c r="QEQ3" s="270"/>
      <c r="QER3" s="272"/>
      <c r="QES3" s="270"/>
      <c r="QET3" s="272"/>
      <c r="QEU3" s="270"/>
      <c r="QEV3" s="272"/>
      <c r="QEW3" s="270"/>
      <c r="QEX3" s="272"/>
      <c r="QEY3" s="270"/>
      <c r="QEZ3" s="272"/>
      <c r="QFA3" s="270"/>
      <c r="QFB3" s="272"/>
      <c r="QFC3" s="270"/>
      <c r="QFD3" s="272"/>
      <c r="QFE3" s="270"/>
      <c r="QFF3" s="272"/>
      <c r="QFG3" s="270"/>
      <c r="QFH3" s="272"/>
      <c r="QFI3" s="270"/>
      <c r="QFJ3" s="272"/>
      <c r="QFK3" s="270"/>
      <c r="QFL3" s="272"/>
      <c r="QFM3" s="270"/>
      <c r="QFN3" s="272"/>
      <c r="QFO3" s="270"/>
      <c r="QFP3" s="272"/>
      <c r="QFQ3" s="270"/>
      <c r="QFR3" s="272"/>
      <c r="QFS3" s="270"/>
      <c r="QFT3" s="272"/>
      <c r="QFU3" s="270"/>
      <c r="QFV3" s="272"/>
      <c r="QFW3" s="270"/>
      <c r="QFX3" s="272"/>
      <c r="QFY3" s="270"/>
      <c r="QFZ3" s="272"/>
      <c r="QGA3" s="270"/>
      <c r="QGB3" s="272"/>
      <c r="QGC3" s="270"/>
      <c r="QGD3" s="272"/>
      <c r="QGE3" s="270"/>
      <c r="QGF3" s="272"/>
      <c r="QGG3" s="270"/>
      <c r="QGH3" s="272"/>
      <c r="QGI3" s="270"/>
      <c r="QGJ3" s="272"/>
      <c r="QGK3" s="270"/>
      <c r="QGL3" s="272"/>
      <c r="QGM3" s="270"/>
      <c r="QGN3" s="272"/>
      <c r="QGO3" s="270"/>
      <c r="QGP3" s="272"/>
      <c r="QGQ3" s="270"/>
      <c r="QGR3" s="272"/>
      <c r="QGS3" s="270"/>
      <c r="QGT3" s="272"/>
      <c r="QGU3" s="270"/>
      <c r="QGV3" s="272"/>
      <c r="QGW3" s="270"/>
      <c r="QGX3" s="272"/>
      <c r="QGY3" s="270"/>
      <c r="QGZ3" s="272"/>
      <c r="QHA3" s="270"/>
      <c r="QHB3" s="272"/>
      <c r="QHC3" s="270"/>
      <c r="QHD3" s="272"/>
      <c r="QHE3" s="270"/>
      <c r="QHF3" s="272"/>
      <c r="QHG3" s="270"/>
      <c r="QHH3" s="272"/>
      <c r="QHI3" s="270"/>
      <c r="QHJ3" s="272"/>
      <c r="QHK3" s="270"/>
      <c r="QHL3" s="272"/>
      <c r="QHM3" s="270"/>
      <c r="QHN3" s="272"/>
      <c r="QHO3" s="270"/>
      <c r="QHP3" s="272"/>
      <c r="QHQ3" s="270"/>
      <c r="QHR3" s="272"/>
      <c r="QHS3" s="270"/>
      <c r="QHT3" s="272"/>
      <c r="QHU3" s="270"/>
      <c r="QHV3" s="272"/>
      <c r="QHW3" s="270"/>
      <c r="QHX3" s="272"/>
      <c r="QHY3" s="270"/>
      <c r="QHZ3" s="272"/>
      <c r="QIA3" s="270"/>
      <c r="QIB3" s="272"/>
      <c r="QIC3" s="270"/>
      <c r="QID3" s="272"/>
      <c r="QIE3" s="270"/>
      <c r="QIF3" s="272"/>
      <c r="QIG3" s="270"/>
      <c r="QIH3" s="272"/>
      <c r="QII3" s="270"/>
      <c r="QIJ3" s="272"/>
      <c r="QIK3" s="270"/>
      <c r="QIL3" s="272"/>
      <c r="QIM3" s="270"/>
      <c r="QIN3" s="272"/>
      <c r="QIO3" s="270"/>
      <c r="QIP3" s="272"/>
      <c r="QIQ3" s="270"/>
      <c r="QIR3" s="272"/>
      <c r="QIS3" s="270"/>
      <c r="QIT3" s="272"/>
      <c r="QIU3" s="270"/>
      <c r="QIV3" s="272"/>
      <c r="QIW3" s="270"/>
      <c r="QIX3" s="272"/>
      <c r="QIY3" s="270"/>
      <c r="QIZ3" s="272"/>
      <c r="QJA3" s="270"/>
      <c r="QJB3" s="272"/>
      <c r="QJC3" s="270"/>
      <c r="QJD3" s="272"/>
      <c r="QJE3" s="270"/>
      <c r="QJF3" s="272"/>
      <c r="QJG3" s="270"/>
      <c r="QJH3" s="272"/>
      <c r="QJI3" s="270"/>
      <c r="QJJ3" s="272"/>
      <c r="QJK3" s="270"/>
      <c r="QJL3" s="272"/>
      <c r="QJM3" s="270"/>
      <c r="QJN3" s="272"/>
      <c r="QJO3" s="270"/>
      <c r="QJP3" s="272"/>
      <c r="QJQ3" s="270"/>
      <c r="QJR3" s="272"/>
      <c r="QJS3" s="270"/>
      <c r="QJT3" s="272"/>
      <c r="QJU3" s="270"/>
      <c r="QJV3" s="272"/>
      <c r="QJW3" s="270"/>
      <c r="QJX3" s="272"/>
      <c r="QJY3" s="270"/>
      <c r="QJZ3" s="272"/>
      <c r="QKA3" s="270"/>
      <c r="QKB3" s="272"/>
      <c r="QKC3" s="270"/>
      <c r="QKD3" s="272"/>
      <c r="QKE3" s="270"/>
      <c r="QKF3" s="272"/>
      <c r="QKG3" s="270"/>
      <c r="QKH3" s="272"/>
      <c r="QKI3" s="270"/>
      <c r="QKJ3" s="272"/>
      <c r="QKK3" s="270"/>
      <c r="QKL3" s="272"/>
      <c r="QKM3" s="270"/>
      <c r="QKN3" s="272"/>
      <c r="QKO3" s="270"/>
      <c r="QKP3" s="272"/>
      <c r="QKQ3" s="270"/>
      <c r="QKR3" s="272"/>
      <c r="QKS3" s="270"/>
      <c r="QKT3" s="272"/>
      <c r="QKU3" s="270"/>
      <c r="QKV3" s="272"/>
      <c r="QKW3" s="270"/>
      <c r="QKX3" s="272"/>
      <c r="QKY3" s="270"/>
      <c r="QKZ3" s="272"/>
      <c r="QLA3" s="270"/>
      <c r="QLB3" s="272"/>
      <c r="QLC3" s="270"/>
      <c r="QLD3" s="272"/>
      <c r="QLE3" s="270"/>
      <c r="QLF3" s="272"/>
      <c r="QLG3" s="270"/>
      <c r="QLH3" s="272"/>
      <c r="QLI3" s="270"/>
      <c r="QLJ3" s="272"/>
      <c r="QLK3" s="270"/>
      <c r="QLL3" s="272"/>
      <c r="QLM3" s="270"/>
      <c r="QLN3" s="272"/>
      <c r="QLO3" s="270"/>
      <c r="QLP3" s="272"/>
      <c r="QLQ3" s="270"/>
      <c r="QLR3" s="272"/>
      <c r="QLS3" s="270"/>
      <c r="QLT3" s="272"/>
      <c r="QLU3" s="270"/>
      <c r="QLV3" s="272"/>
      <c r="QLW3" s="270"/>
      <c r="QLX3" s="272"/>
      <c r="QLY3" s="270"/>
      <c r="QLZ3" s="272"/>
      <c r="QMA3" s="270"/>
      <c r="QMB3" s="272"/>
      <c r="QMC3" s="270"/>
      <c r="QMD3" s="272"/>
      <c r="QME3" s="270"/>
      <c r="QMF3" s="272"/>
      <c r="QMG3" s="270"/>
      <c r="QMH3" s="272"/>
      <c r="QMI3" s="270"/>
      <c r="QMJ3" s="272"/>
      <c r="QMK3" s="270"/>
      <c r="QML3" s="272"/>
      <c r="QMM3" s="270"/>
      <c r="QMN3" s="272"/>
      <c r="QMO3" s="270"/>
      <c r="QMP3" s="272"/>
      <c r="QMQ3" s="270"/>
      <c r="QMR3" s="272"/>
      <c r="QMS3" s="270"/>
      <c r="QMT3" s="272"/>
      <c r="QMU3" s="270"/>
      <c r="QMV3" s="272"/>
      <c r="QMW3" s="270"/>
      <c r="QMX3" s="272"/>
      <c r="QMY3" s="270"/>
      <c r="QMZ3" s="272"/>
      <c r="QNA3" s="270"/>
      <c r="QNB3" s="272"/>
      <c r="QNC3" s="270"/>
      <c r="QND3" s="272"/>
      <c r="QNE3" s="270"/>
      <c r="QNF3" s="272"/>
      <c r="QNG3" s="270"/>
      <c r="QNH3" s="272"/>
      <c r="QNI3" s="270"/>
      <c r="QNJ3" s="272"/>
      <c r="QNK3" s="270"/>
      <c r="QNL3" s="272"/>
      <c r="QNM3" s="270"/>
      <c r="QNN3" s="272"/>
      <c r="QNO3" s="270"/>
      <c r="QNP3" s="272"/>
      <c r="QNQ3" s="270"/>
      <c r="QNR3" s="272"/>
      <c r="QNS3" s="270"/>
      <c r="QNT3" s="272"/>
      <c r="QNU3" s="270"/>
      <c r="QNV3" s="272"/>
      <c r="QNW3" s="270"/>
      <c r="QNX3" s="272"/>
      <c r="QNY3" s="270"/>
      <c r="QNZ3" s="272"/>
      <c r="QOA3" s="270"/>
      <c r="QOB3" s="272"/>
      <c r="QOC3" s="270"/>
      <c r="QOD3" s="272"/>
      <c r="QOE3" s="270"/>
      <c r="QOF3" s="272"/>
      <c r="QOG3" s="270"/>
      <c r="QOH3" s="272"/>
      <c r="QOI3" s="270"/>
      <c r="QOJ3" s="272"/>
      <c r="QOK3" s="270"/>
      <c r="QOL3" s="272"/>
      <c r="QOM3" s="270"/>
      <c r="QON3" s="272"/>
      <c r="QOO3" s="270"/>
      <c r="QOP3" s="272"/>
      <c r="QOQ3" s="270"/>
      <c r="QOR3" s="272"/>
      <c r="QOS3" s="270"/>
      <c r="QOT3" s="272"/>
      <c r="QOU3" s="270"/>
      <c r="QOV3" s="272"/>
      <c r="QOW3" s="270"/>
      <c r="QOX3" s="272"/>
      <c r="QOY3" s="270"/>
      <c r="QOZ3" s="272"/>
      <c r="QPA3" s="270"/>
      <c r="QPB3" s="272"/>
      <c r="QPC3" s="270"/>
      <c r="QPD3" s="272"/>
      <c r="QPE3" s="270"/>
      <c r="QPF3" s="272"/>
      <c r="QPG3" s="270"/>
      <c r="QPH3" s="272"/>
      <c r="QPI3" s="270"/>
      <c r="QPJ3" s="272"/>
      <c r="QPK3" s="270"/>
      <c r="QPL3" s="272"/>
      <c r="QPM3" s="270"/>
      <c r="QPN3" s="272"/>
      <c r="QPO3" s="270"/>
      <c r="QPP3" s="272"/>
      <c r="QPQ3" s="270"/>
      <c r="QPR3" s="272"/>
      <c r="QPS3" s="270"/>
      <c r="QPT3" s="272"/>
      <c r="QPU3" s="270"/>
      <c r="QPV3" s="272"/>
      <c r="QPW3" s="270"/>
      <c r="QPX3" s="272"/>
      <c r="QPY3" s="270"/>
      <c r="QPZ3" s="272"/>
      <c r="QQA3" s="270"/>
      <c r="QQB3" s="272"/>
      <c r="QQC3" s="270"/>
      <c r="QQD3" s="272"/>
      <c r="QQE3" s="270"/>
      <c r="QQF3" s="272"/>
      <c r="QQG3" s="270"/>
      <c r="QQH3" s="272"/>
      <c r="QQI3" s="270"/>
      <c r="QQJ3" s="272"/>
      <c r="QQK3" s="270"/>
      <c r="QQL3" s="272"/>
      <c r="QQM3" s="270"/>
      <c r="QQN3" s="272"/>
      <c r="QQO3" s="270"/>
      <c r="QQP3" s="272"/>
      <c r="QQQ3" s="270"/>
      <c r="QQR3" s="272"/>
      <c r="QQS3" s="270"/>
      <c r="QQT3" s="272"/>
      <c r="QQU3" s="270"/>
      <c r="QQV3" s="272"/>
      <c r="QQW3" s="270"/>
      <c r="QQX3" s="272"/>
      <c r="QQY3" s="270"/>
      <c r="QQZ3" s="272"/>
      <c r="QRA3" s="270"/>
      <c r="QRB3" s="272"/>
      <c r="QRC3" s="270"/>
      <c r="QRD3" s="272"/>
      <c r="QRE3" s="270"/>
      <c r="QRF3" s="272"/>
      <c r="QRG3" s="270"/>
      <c r="QRH3" s="272"/>
      <c r="QRI3" s="270"/>
      <c r="QRJ3" s="272"/>
      <c r="QRK3" s="270"/>
      <c r="QRL3" s="272"/>
      <c r="QRM3" s="270"/>
      <c r="QRN3" s="272"/>
      <c r="QRO3" s="270"/>
      <c r="QRP3" s="272"/>
      <c r="QRQ3" s="270"/>
      <c r="QRR3" s="272"/>
      <c r="QRS3" s="270"/>
      <c r="QRT3" s="272"/>
      <c r="QRU3" s="270"/>
      <c r="QRV3" s="272"/>
      <c r="QRW3" s="270"/>
      <c r="QRX3" s="272"/>
      <c r="QRY3" s="270"/>
      <c r="QRZ3" s="272"/>
      <c r="QSA3" s="270"/>
      <c r="QSB3" s="272"/>
      <c r="QSC3" s="270"/>
      <c r="QSD3" s="272"/>
      <c r="QSE3" s="270"/>
      <c r="QSF3" s="272"/>
      <c r="QSG3" s="270"/>
      <c r="QSH3" s="272"/>
      <c r="QSI3" s="270"/>
      <c r="QSJ3" s="272"/>
      <c r="QSK3" s="270"/>
      <c r="QSL3" s="272"/>
      <c r="QSM3" s="270"/>
      <c r="QSN3" s="272"/>
      <c r="QSO3" s="270"/>
      <c r="QSP3" s="272"/>
      <c r="QSQ3" s="270"/>
      <c r="QSR3" s="272"/>
      <c r="QSS3" s="270"/>
      <c r="QST3" s="272"/>
      <c r="QSU3" s="270"/>
      <c r="QSV3" s="272"/>
      <c r="QSW3" s="270"/>
      <c r="QSX3" s="272"/>
      <c r="QSY3" s="270"/>
      <c r="QSZ3" s="272"/>
      <c r="QTA3" s="270"/>
      <c r="QTB3" s="272"/>
      <c r="QTC3" s="270"/>
      <c r="QTD3" s="272"/>
      <c r="QTE3" s="270"/>
      <c r="QTF3" s="272"/>
      <c r="QTG3" s="270"/>
      <c r="QTH3" s="272"/>
      <c r="QTI3" s="270"/>
      <c r="QTJ3" s="272"/>
      <c r="QTK3" s="270"/>
      <c r="QTL3" s="272"/>
      <c r="QTM3" s="270"/>
      <c r="QTN3" s="272"/>
      <c r="QTO3" s="270"/>
      <c r="QTP3" s="272"/>
      <c r="QTQ3" s="270"/>
      <c r="QTR3" s="272"/>
      <c r="QTS3" s="270"/>
      <c r="QTT3" s="272"/>
      <c r="QTU3" s="270"/>
      <c r="QTV3" s="272"/>
      <c r="QTW3" s="270"/>
      <c r="QTX3" s="272"/>
      <c r="QTY3" s="270"/>
      <c r="QTZ3" s="272"/>
      <c r="QUA3" s="270"/>
      <c r="QUB3" s="272"/>
      <c r="QUC3" s="270"/>
      <c r="QUD3" s="272"/>
      <c r="QUE3" s="270"/>
      <c r="QUF3" s="272"/>
      <c r="QUG3" s="270"/>
      <c r="QUH3" s="272"/>
      <c r="QUI3" s="270"/>
      <c r="QUJ3" s="272"/>
      <c r="QUK3" s="270"/>
      <c r="QUL3" s="272"/>
      <c r="QUM3" s="270"/>
      <c r="QUN3" s="272"/>
      <c r="QUO3" s="270"/>
      <c r="QUP3" s="272"/>
      <c r="QUQ3" s="270"/>
      <c r="QUR3" s="272"/>
      <c r="QUS3" s="270"/>
      <c r="QUT3" s="272"/>
      <c r="QUU3" s="270"/>
      <c r="QUV3" s="272"/>
      <c r="QUW3" s="270"/>
      <c r="QUX3" s="272"/>
      <c r="QUY3" s="270"/>
      <c r="QUZ3" s="272"/>
      <c r="QVA3" s="270"/>
      <c r="QVB3" s="272"/>
      <c r="QVC3" s="270"/>
      <c r="QVD3" s="272"/>
      <c r="QVE3" s="270"/>
      <c r="QVF3" s="272"/>
      <c r="QVG3" s="270"/>
      <c r="QVH3" s="272"/>
      <c r="QVI3" s="270"/>
      <c r="QVJ3" s="272"/>
      <c r="QVK3" s="270"/>
      <c r="QVL3" s="272"/>
      <c r="QVM3" s="270"/>
      <c r="QVN3" s="272"/>
      <c r="QVO3" s="270"/>
      <c r="QVP3" s="272"/>
      <c r="QVQ3" s="270"/>
      <c r="QVR3" s="272"/>
      <c r="QVS3" s="270"/>
      <c r="QVT3" s="272"/>
      <c r="QVU3" s="270"/>
      <c r="QVV3" s="272"/>
      <c r="QVW3" s="270"/>
      <c r="QVX3" s="272"/>
      <c r="QVY3" s="270"/>
      <c r="QVZ3" s="272"/>
      <c r="QWA3" s="270"/>
      <c r="QWB3" s="272"/>
      <c r="QWC3" s="270"/>
      <c r="QWD3" s="272"/>
      <c r="QWE3" s="270"/>
      <c r="QWF3" s="272"/>
      <c r="QWG3" s="270"/>
      <c r="QWH3" s="272"/>
      <c r="QWI3" s="270"/>
      <c r="QWJ3" s="272"/>
      <c r="QWK3" s="270"/>
      <c r="QWL3" s="272"/>
      <c r="QWM3" s="270"/>
      <c r="QWN3" s="272"/>
      <c r="QWO3" s="270"/>
      <c r="QWP3" s="272"/>
      <c r="QWQ3" s="270"/>
      <c r="QWR3" s="272"/>
      <c r="QWS3" s="270"/>
      <c r="QWT3" s="272"/>
      <c r="QWU3" s="270"/>
      <c r="QWV3" s="272"/>
      <c r="QWW3" s="270"/>
      <c r="QWX3" s="272"/>
      <c r="QWY3" s="270"/>
      <c r="QWZ3" s="272"/>
      <c r="QXA3" s="270"/>
      <c r="QXB3" s="272"/>
      <c r="QXC3" s="270"/>
      <c r="QXD3" s="272"/>
      <c r="QXE3" s="270"/>
      <c r="QXF3" s="272"/>
      <c r="QXG3" s="270"/>
      <c r="QXH3" s="272"/>
      <c r="QXI3" s="270"/>
      <c r="QXJ3" s="272"/>
      <c r="QXK3" s="270"/>
      <c r="QXL3" s="272"/>
      <c r="QXM3" s="270"/>
      <c r="QXN3" s="272"/>
      <c r="QXO3" s="270"/>
      <c r="QXP3" s="272"/>
      <c r="QXQ3" s="270"/>
      <c r="QXR3" s="272"/>
      <c r="QXS3" s="270"/>
      <c r="QXT3" s="272"/>
      <c r="QXU3" s="270"/>
      <c r="QXV3" s="272"/>
      <c r="QXW3" s="270"/>
      <c r="QXX3" s="272"/>
      <c r="QXY3" s="270"/>
      <c r="QXZ3" s="272"/>
      <c r="QYA3" s="270"/>
      <c r="QYB3" s="272"/>
      <c r="QYC3" s="270"/>
      <c r="QYD3" s="272"/>
      <c r="QYE3" s="270"/>
      <c r="QYF3" s="272"/>
      <c r="QYG3" s="270"/>
      <c r="QYH3" s="272"/>
      <c r="QYI3" s="270"/>
      <c r="QYJ3" s="272"/>
      <c r="QYK3" s="270"/>
      <c r="QYL3" s="272"/>
      <c r="QYM3" s="270"/>
      <c r="QYN3" s="272"/>
      <c r="QYO3" s="270"/>
      <c r="QYP3" s="272"/>
      <c r="QYQ3" s="270"/>
      <c r="QYR3" s="272"/>
      <c r="QYS3" s="270"/>
      <c r="QYT3" s="272"/>
      <c r="QYU3" s="270"/>
      <c r="QYV3" s="272"/>
      <c r="QYW3" s="270"/>
      <c r="QYX3" s="272"/>
      <c r="QYY3" s="270"/>
      <c r="QYZ3" s="272"/>
      <c r="QZA3" s="270"/>
      <c r="QZB3" s="272"/>
      <c r="QZC3" s="270"/>
      <c r="QZD3" s="272"/>
      <c r="QZE3" s="270"/>
      <c r="QZF3" s="272"/>
      <c r="QZG3" s="270"/>
      <c r="QZH3" s="272"/>
      <c r="QZI3" s="270"/>
      <c r="QZJ3" s="272"/>
      <c r="QZK3" s="270"/>
      <c r="QZL3" s="272"/>
      <c r="QZM3" s="270"/>
      <c r="QZN3" s="272"/>
      <c r="QZO3" s="270"/>
      <c r="QZP3" s="272"/>
      <c r="QZQ3" s="270"/>
      <c r="QZR3" s="272"/>
      <c r="QZS3" s="270"/>
      <c r="QZT3" s="272"/>
      <c r="QZU3" s="270"/>
      <c r="QZV3" s="272"/>
      <c r="QZW3" s="270"/>
      <c r="QZX3" s="272"/>
      <c r="QZY3" s="270"/>
      <c r="QZZ3" s="272"/>
      <c r="RAA3" s="270"/>
      <c r="RAB3" s="272"/>
      <c r="RAC3" s="270"/>
      <c r="RAD3" s="272"/>
      <c r="RAE3" s="270"/>
      <c r="RAF3" s="272"/>
      <c r="RAG3" s="270"/>
      <c r="RAH3" s="272"/>
      <c r="RAI3" s="270"/>
      <c r="RAJ3" s="272"/>
      <c r="RAK3" s="270"/>
      <c r="RAL3" s="272"/>
      <c r="RAM3" s="270"/>
      <c r="RAN3" s="272"/>
      <c r="RAO3" s="270"/>
      <c r="RAP3" s="272"/>
      <c r="RAQ3" s="270"/>
      <c r="RAR3" s="272"/>
      <c r="RAS3" s="270"/>
      <c r="RAT3" s="272"/>
      <c r="RAU3" s="270"/>
      <c r="RAV3" s="272"/>
      <c r="RAW3" s="270"/>
      <c r="RAX3" s="272"/>
      <c r="RAY3" s="270"/>
      <c r="RAZ3" s="272"/>
      <c r="RBA3" s="270"/>
      <c r="RBB3" s="272"/>
      <c r="RBC3" s="270"/>
      <c r="RBD3" s="272"/>
      <c r="RBE3" s="270"/>
      <c r="RBF3" s="272"/>
      <c r="RBG3" s="270"/>
      <c r="RBH3" s="272"/>
      <c r="RBI3" s="270"/>
      <c r="RBJ3" s="272"/>
      <c r="RBK3" s="270"/>
      <c r="RBL3" s="272"/>
      <c r="RBM3" s="270"/>
      <c r="RBN3" s="272"/>
      <c r="RBO3" s="270"/>
      <c r="RBP3" s="272"/>
      <c r="RBQ3" s="270"/>
      <c r="RBR3" s="272"/>
      <c r="RBS3" s="270"/>
      <c r="RBT3" s="272"/>
      <c r="RBU3" s="270"/>
      <c r="RBV3" s="272"/>
      <c r="RBW3" s="270"/>
      <c r="RBX3" s="272"/>
      <c r="RBY3" s="270"/>
      <c r="RBZ3" s="272"/>
      <c r="RCA3" s="270"/>
      <c r="RCB3" s="272"/>
      <c r="RCC3" s="270"/>
      <c r="RCD3" s="272"/>
      <c r="RCE3" s="270"/>
      <c r="RCF3" s="272"/>
      <c r="RCG3" s="270"/>
      <c r="RCH3" s="272"/>
      <c r="RCI3" s="270"/>
      <c r="RCJ3" s="272"/>
      <c r="RCK3" s="270"/>
      <c r="RCL3" s="272"/>
      <c r="RCM3" s="270"/>
      <c r="RCN3" s="272"/>
      <c r="RCO3" s="270"/>
      <c r="RCP3" s="272"/>
      <c r="RCQ3" s="270"/>
      <c r="RCR3" s="272"/>
      <c r="RCS3" s="270"/>
      <c r="RCT3" s="272"/>
      <c r="RCU3" s="270"/>
      <c r="RCV3" s="272"/>
      <c r="RCW3" s="270"/>
      <c r="RCX3" s="272"/>
      <c r="RCY3" s="270"/>
      <c r="RCZ3" s="272"/>
      <c r="RDA3" s="270"/>
      <c r="RDB3" s="272"/>
      <c r="RDC3" s="270"/>
      <c r="RDD3" s="272"/>
      <c r="RDE3" s="270"/>
      <c r="RDF3" s="272"/>
      <c r="RDG3" s="270"/>
      <c r="RDH3" s="272"/>
      <c r="RDI3" s="270"/>
      <c r="RDJ3" s="272"/>
      <c r="RDK3" s="270"/>
      <c r="RDL3" s="272"/>
      <c r="RDM3" s="270"/>
      <c r="RDN3" s="272"/>
      <c r="RDO3" s="270"/>
      <c r="RDP3" s="272"/>
      <c r="RDQ3" s="270"/>
      <c r="RDR3" s="272"/>
      <c r="RDS3" s="270"/>
      <c r="RDT3" s="272"/>
      <c r="RDU3" s="270"/>
      <c r="RDV3" s="272"/>
      <c r="RDW3" s="270"/>
      <c r="RDX3" s="272"/>
      <c r="RDY3" s="270"/>
      <c r="RDZ3" s="272"/>
      <c r="REA3" s="270"/>
      <c r="REB3" s="272"/>
      <c r="REC3" s="270"/>
      <c r="RED3" s="272"/>
      <c r="REE3" s="270"/>
      <c r="REF3" s="272"/>
      <c r="REG3" s="270"/>
      <c r="REH3" s="272"/>
      <c r="REI3" s="270"/>
      <c r="REJ3" s="272"/>
      <c r="REK3" s="270"/>
      <c r="REL3" s="272"/>
      <c r="REM3" s="270"/>
      <c r="REN3" s="272"/>
      <c r="REO3" s="270"/>
      <c r="REP3" s="272"/>
      <c r="REQ3" s="270"/>
      <c r="RER3" s="272"/>
      <c r="RES3" s="270"/>
      <c r="RET3" s="272"/>
      <c r="REU3" s="270"/>
      <c r="REV3" s="272"/>
      <c r="REW3" s="270"/>
      <c r="REX3" s="272"/>
      <c r="REY3" s="270"/>
      <c r="REZ3" s="272"/>
      <c r="RFA3" s="270"/>
      <c r="RFB3" s="272"/>
      <c r="RFC3" s="270"/>
      <c r="RFD3" s="272"/>
      <c r="RFE3" s="270"/>
      <c r="RFF3" s="272"/>
      <c r="RFG3" s="270"/>
      <c r="RFH3" s="272"/>
      <c r="RFI3" s="270"/>
      <c r="RFJ3" s="272"/>
      <c r="RFK3" s="270"/>
      <c r="RFL3" s="272"/>
      <c r="RFM3" s="270"/>
      <c r="RFN3" s="272"/>
      <c r="RFO3" s="270"/>
      <c r="RFP3" s="272"/>
      <c r="RFQ3" s="270"/>
      <c r="RFR3" s="272"/>
      <c r="RFS3" s="270"/>
      <c r="RFT3" s="272"/>
      <c r="RFU3" s="270"/>
      <c r="RFV3" s="272"/>
      <c r="RFW3" s="270"/>
      <c r="RFX3" s="272"/>
      <c r="RFY3" s="270"/>
      <c r="RFZ3" s="272"/>
      <c r="RGA3" s="270"/>
      <c r="RGB3" s="272"/>
      <c r="RGC3" s="270"/>
      <c r="RGD3" s="272"/>
      <c r="RGE3" s="270"/>
      <c r="RGF3" s="272"/>
      <c r="RGG3" s="270"/>
      <c r="RGH3" s="272"/>
      <c r="RGI3" s="270"/>
      <c r="RGJ3" s="272"/>
      <c r="RGK3" s="270"/>
      <c r="RGL3" s="272"/>
      <c r="RGM3" s="270"/>
      <c r="RGN3" s="272"/>
      <c r="RGO3" s="270"/>
      <c r="RGP3" s="272"/>
      <c r="RGQ3" s="270"/>
      <c r="RGR3" s="272"/>
      <c r="RGS3" s="270"/>
      <c r="RGT3" s="272"/>
      <c r="RGU3" s="270"/>
      <c r="RGV3" s="272"/>
      <c r="RGW3" s="270"/>
      <c r="RGX3" s="272"/>
      <c r="RGY3" s="270"/>
      <c r="RGZ3" s="272"/>
      <c r="RHA3" s="270"/>
      <c r="RHB3" s="272"/>
      <c r="RHC3" s="270"/>
      <c r="RHD3" s="272"/>
      <c r="RHE3" s="270"/>
      <c r="RHF3" s="272"/>
      <c r="RHG3" s="270"/>
      <c r="RHH3" s="272"/>
      <c r="RHI3" s="270"/>
      <c r="RHJ3" s="272"/>
      <c r="RHK3" s="270"/>
      <c r="RHL3" s="272"/>
      <c r="RHM3" s="270"/>
      <c r="RHN3" s="272"/>
      <c r="RHO3" s="270"/>
      <c r="RHP3" s="272"/>
      <c r="RHQ3" s="270"/>
      <c r="RHR3" s="272"/>
      <c r="RHS3" s="270"/>
      <c r="RHT3" s="272"/>
      <c r="RHU3" s="270"/>
      <c r="RHV3" s="272"/>
      <c r="RHW3" s="270"/>
      <c r="RHX3" s="272"/>
      <c r="RHY3" s="270"/>
      <c r="RHZ3" s="272"/>
      <c r="RIA3" s="270"/>
      <c r="RIB3" s="272"/>
      <c r="RIC3" s="270"/>
      <c r="RID3" s="272"/>
      <c r="RIE3" s="270"/>
      <c r="RIF3" s="272"/>
      <c r="RIG3" s="270"/>
      <c r="RIH3" s="272"/>
      <c r="RII3" s="270"/>
      <c r="RIJ3" s="272"/>
      <c r="RIK3" s="270"/>
      <c r="RIL3" s="272"/>
      <c r="RIM3" s="270"/>
      <c r="RIN3" s="272"/>
      <c r="RIO3" s="270"/>
      <c r="RIP3" s="272"/>
      <c r="RIQ3" s="270"/>
      <c r="RIR3" s="272"/>
      <c r="RIS3" s="270"/>
      <c r="RIT3" s="272"/>
      <c r="RIU3" s="270"/>
      <c r="RIV3" s="272"/>
      <c r="RIW3" s="270"/>
      <c r="RIX3" s="272"/>
      <c r="RIY3" s="270"/>
      <c r="RIZ3" s="272"/>
      <c r="RJA3" s="270"/>
      <c r="RJB3" s="272"/>
      <c r="RJC3" s="270"/>
      <c r="RJD3" s="272"/>
      <c r="RJE3" s="270"/>
      <c r="RJF3" s="272"/>
      <c r="RJG3" s="270"/>
      <c r="RJH3" s="272"/>
      <c r="RJI3" s="270"/>
      <c r="RJJ3" s="272"/>
      <c r="RJK3" s="270"/>
      <c r="RJL3" s="272"/>
      <c r="RJM3" s="270"/>
      <c r="RJN3" s="272"/>
      <c r="RJO3" s="270"/>
      <c r="RJP3" s="272"/>
      <c r="RJQ3" s="270"/>
      <c r="RJR3" s="272"/>
      <c r="RJS3" s="270"/>
      <c r="RJT3" s="272"/>
      <c r="RJU3" s="270"/>
      <c r="RJV3" s="272"/>
      <c r="RJW3" s="270"/>
      <c r="RJX3" s="272"/>
      <c r="RJY3" s="270"/>
      <c r="RJZ3" s="272"/>
      <c r="RKA3" s="270"/>
      <c r="RKB3" s="272"/>
      <c r="RKC3" s="270"/>
      <c r="RKD3" s="272"/>
      <c r="RKE3" s="270"/>
      <c r="RKF3" s="272"/>
      <c r="RKG3" s="270"/>
      <c r="RKH3" s="272"/>
      <c r="RKI3" s="270"/>
      <c r="RKJ3" s="272"/>
      <c r="RKK3" s="270"/>
      <c r="RKL3" s="272"/>
      <c r="RKM3" s="270"/>
      <c r="RKN3" s="272"/>
      <c r="RKO3" s="270"/>
      <c r="RKP3" s="272"/>
      <c r="RKQ3" s="270"/>
      <c r="RKR3" s="272"/>
      <c r="RKS3" s="270"/>
      <c r="RKT3" s="272"/>
      <c r="RKU3" s="270"/>
      <c r="RKV3" s="272"/>
      <c r="RKW3" s="270"/>
      <c r="RKX3" s="272"/>
      <c r="RKY3" s="270"/>
      <c r="RKZ3" s="272"/>
      <c r="RLA3" s="270"/>
      <c r="RLB3" s="272"/>
      <c r="RLC3" s="270"/>
      <c r="RLD3" s="272"/>
      <c r="RLE3" s="270"/>
      <c r="RLF3" s="272"/>
      <c r="RLG3" s="270"/>
      <c r="RLH3" s="272"/>
      <c r="RLI3" s="270"/>
      <c r="RLJ3" s="272"/>
      <c r="RLK3" s="270"/>
      <c r="RLL3" s="272"/>
      <c r="RLM3" s="270"/>
      <c r="RLN3" s="272"/>
      <c r="RLO3" s="270"/>
      <c r="RLP3" s="272"/>
      <c r="RLQ3" s="270"/>
      <c r="RLR3" s="272"/>
      <c r="RLS3" s="270"/>
      <c r="RLT3" s="272"/>
      <c r="RLU3" s="270"/>
      <c r="RLV3" s="272"/>
      <c r="RLW3" s="270"/>
      <c r="RLX3" s="272"/>
      <c r="RLY3" s="270"/>
      <c r="RLZ3" s="272"/>
      <c r="RMA3" s="270"/>
      <c r="RMB3" s="272"/>
      <c r="RMC3" s="270"/>
      <c r="RMD3" s="272"/>
      <c r="RME3" s="270"/>
      <c r="RMF3" s="272"/>
      <c r="RMG3" s="270"/>
      <c r="RMH3" s="272"/>
      <c r="RMI3" s="270"/>
      <c r="RMJ3" s="272"/>
      <c r="RMK3" s="270"/>
      <c r="RML3" s="272"/>
      <c r="RMM3" s="270"/>
      <c r="RMN3" s="272"/>
      <c r="RMO3" s="270"/>
      <c r="RMP3" s="272"/>
      <c r="RMQ3" s="270"/>
      <c r="RMR3" s="272"/>
      <c r="RMS3" s="270"/>
      <c r="RMT3" s="272"/>
      <c r="RMU3" s="270"/>
      <c r="RMV3" s="272"/>
      <c r="RMW3" s="270"/>
      <c r="RMX3" s="272"/>
      <c r="RMY3" s="270"/>
      <c r="RMZ3" s="272"/>
      <c r="RNA3" s="270"/>
      <c r="RNB3" s="272"/>
      <c r="RNC3" s="270"/>
      <c r="RND3" s="272"/>
      <c r="RNE3" s="270"/>
      <c r="RNF3" s="272"/>
      <c r="RNG3" s="270"/>
      <c r="RNH3" s="272"/>
      <c r="RNI3" s="270"/>
      <c r="RNJ3" s="272"/>
      <c r="RNK3" s="270"/>
      <c r="RNL3" s="272"/>
      <c r="RNM3" s="270"/>
      <c r="RNN3" s="272"/>
      <c r="RNO3" s="270"/>
      <c r="RNP3" s="272"/>
      <c r="RNQ3" s="270"/>
      <c r="RNR3" s="272"/>
      <c r="RNS3" s="270"/>
      <c r="RNT3" s="272"/>
      <c r="RNU3" s="270"/>
      <c r="RNV3" s="272"/>
      <c r="RNW3" s="270"/>
      <c r="RNX3" s="272"/>
      <c r="RNY3" s="270"/>
      <c r="RNZ3" s="272"/>
      <c r="ROA3" s="270"/>
      <c r="ROB3" s="272"/>
      <c r="ROC3" s="270"/>
      <c r="ROD3" s="272"/>
      <c r="ROE3" s="270"/>
      <c r="ROF3" s="272"/>
      <c r="ROG3" s="270"/>
      <c r="ROH3" s="272"/>
      <c r="ROI3" s="270"/>
      <c r="ROJ3" s="272"/>
      <c r="ROK3" s="270"/>
      <c r="ROL3" s="272"/>
      <c r="ROM3" s="270"/>
      <c r="RON3" s="272"/>
      <c r="ROO3" s="270"/>
      <c r="ROP3" s="272"/>
      <c r="ROQ3" s="270"/>
      <c r="ROR3" s="272"/>
      <c r="ROS3" s="270"/>
      <c r="ROT3" s="272"/>
      <c r="ROU3" s="270"/>
      <c r="ROV3" s="272"/>
      <c r="ROW3" s="270"/>
      <c r="ROX3" s="272"/>
      <c r="ROY3" s="270"/>
      <c r="ROZ3" s="272"/>
      <c r="RPA3" s="270"/>
      <c r="RPB3" s="272"/>
      <c r="RPC3" s="270"/>
      <c r="RPD3" s="272"/>
      <c r="RPE3" s="270"/>
      <c r="RPF3" s="272"/>
      <c r="RPG3" s="270"/>
      <c r="RPH3" s="272"/>
      <c r="RPI3" s="270"/>
      <c r="RPJ3" s="272"/>
      <c r="RPK3" s="270"/>
      <c r="RPL3" s="272"/>
      <c r="RPM3" s="270"/>
      <c r="RPN3" s="272"/>
      <c r="RPO3" s="270"/>
      <c r="RPP3" s="272"/>
      <c r="RPQ3" s="270"/>
      <c r="RPR3" s="272"/>
      <c r="RPS3" s="270"/>
      <c r="RPT3" s="272"/>
      <c r="RPU3" s="270"/>
      <c r="RPV3" s="272"/>
      <c r="RPW3" s="270"/>
      <c r="RPX3" s="272"/>
      <c r="RPY3" s="270"/>
      <c r="RPZ3" s="272"/>
      <c r="RQA3" s="270"/>
      <c r="RQB3" s="272"/>
      <c r="RQC3" s="270"/>
      <c r="RQD3" s="272"/>
      <c r="RQE3" s="270"/>
      <c r="RQF3" s="272"/>
      <c r="RQG3" s="270"/>
      <c r="RQH3" s="272"/>
      <c r="RQI3" s="270"/>
      <c r="RQJ3" s="272"/>
      <c r="RQK3" s="270"/>
      <c r="RQL3" s="272"/>
      <c r="RQM3" s="270"/>
      <c r="RQN3" s="272"/>
      <c r="RQO3" s="270"/>
      <c r="RQP3" s="272"/>
      <c r="RQQ3" s="270"/>
      <c r="RQR3" s="272"/>
      <c r="RQS3" s="270"/>
      <c r="RQT3" s="272"/>
      <c r="RQU3" s="270"/>
      <c r="RQV3" s="272"/>
      <c r="RQW3" s="270"/>
      <c r="RQX3" s="272"/>
      <c r="RQY3" s="270"/>
      <c r="RQZ3" s="272"/>
      <c r="RRA3" s="270"/>
      <c r="RRB3" s="272"/>
      <c r="RRC3" s="270"/>
      <c r="RRD3" s="272"/>
      <c r="RRE3" s="270"/>
      <c r="RRF3" s="272"/>
      <c r="RRG3" s="270"/>
      <c r="RRH3" s="272"/>
      <c r="RRI3" s="270"/>
      <c r="RRJ3" s="272"/>
      <c r="RRK3" s="270"/>
      <c r="RRL3" s="272"/>
      <c r="RRM3" s="270"/>
      <c r="RRN3" s="272"/>
      <c r="RRO3" s="270"/>
      <c r="RRP3" s="272"/>
      <c r="RRQ3" s="270"/>
      <c r="RRR3" s="272"/>
      <c r="RRS3" s="270"/>
      <c r="RRT3" s="272"/>
      <c r="RRU3" s="270"/>
      <c r="RRV3" s="272"/>
      <c r="RRW3" s="270"/>
      <c r="RRX3" s="272"/>
      <c r="RRY3" s="270"/>
      <c r="RRZ3" s="272"/>
      <c r="RSA3" s="270"/>
      <c r="RSB3" s="272"/>
      <c r="RSC3" s="270"/>
      <c r="RSD3" s="272"/>
      <c r="RSE3" s="270"/>
      <c r="RSF3" s="272"/>
      <c r="RSG3" s="270"/>
      <c r="RSH3" s="272"/>
      <c r="RSI3" s="270"/>
      <c r="RSJ3" s="272"/>
      <c r="RSK3" s="270"/>
      <c r="RSL3" s="272"/>
      <c r="RSM3" s="270"/>
      <c r="RSN3" s="272"/>
      <c r="RSO3" s="270"/>
      <c r="RSP3" s="272"/>
      <c r="RSQ3" s="270"/>
      <c r="RSR3" s="272"/>
      <c r="RSS3" s="270"/>
      <c r="RST3" s="272"/>
      <c r="RSU3" s="270"/>
      <c r="RSV3" s="272"/>
      <c r="RSW3" s="270"/>
      <c r="RSX3" s="272"/>
      <c r="RSY3" s="270"/>
      <c r="RSZ3" s="272"/>
      <c r="RTA3" s="270"/>
      <c r="RTB3" s="272"/>
      <c r="RTC3" s="270"/>
      <c r="RTD3" s="272"/>
      <c r="RTE3" s="270"/>
      <c r="RTF3" s="272"/>
      <c r="RTG3" s="270"/>
      <c r="RTH3" s="272"/>
      <c r="RTI3" s="270"/>
      <c r="RTJ3" s="272"/>
      <c r="RTK3" s="270"/>
      <c r="RTL3" s="272"/>
      <c r="RTM3" s="270"/>
      <c r="RTN3" s="272"/>
      <c r="RTO3" s="270"/>
      <c r="RTP3" s="272"/>
      <c r="RTQ3" s="270"/>
      <c r="RTR3" s="272"/>
      <c r="RTS3" s="270"/>
      <c r="RTT3" s="272"/>
      <c r="RTU3" s="270"/>
      <c r="RTV3" s="272"/>
      <c r="RTW3" s="270"/>
      <c r="RTX3" s="272"/>
      <c r="RTY3" s="270"/>
      <c r="RTZ3" s="272"/>
      <c r="RUA3" s="270"/>
      <c r="RUB3" s="272"/>
      <c r="RUC3" s="270"/>
      <c r="RUD3" s="272"/>
      <c r="RUE3" s="270"/>
      <c r="RUF3" s="272"/>
      <c r="RUG3" s="270"/>
      <c r="RUH3" s="272"/>
      <c r="RUI3" s="270"/>
      <c r="RUJ3" s="272"/>
      <c r="RUK3" s="270"/>
      <c r="RUL3" s="272"/>
      <c r="RUM3" s="270"/>
      <c r="RUN3" s="272"/>
      <c r="RUO3" s="270"/>
      <c r="RUP3" s="272"/>
      <c r="RUQ3" s="270"/>
      <c r="RUR3" s="272"/>
      <c r="RUS3" s="270"/>
      <c r="RUT3" s="272"/>
      <c r="RUU3" s="270"/>
      <c r="RUV3" s="272"/>
      <c r="RUW3" s="270"/>
      <c r="RUX3" s="272"/>
      <c r="RUY3" s="270"/>
      <c r="RUZ3" s="272"/>
      <c r="RVA3" s="270"/>
      <c r="RVB3" s="272"/>
      <c r="RVC3" s="270"/>
      <c r="RVD3" s="272"/>
      <c r="RVE3" s="270"/>
      <c r="RVF3" s="272"/>
      <c r="RVG3" s="270"/>
      <c r="RVH3" s="272"/>
      <c r="RVI3" s="270"/>
      <c r="RVJ3" s="272"/>
      <c r="RVK3" s="270"/>
      <c r="RVL3" s="272"/>
      <c r="RVM3" s="270"/>
      <c r="RVN3" s="272"/>
      <c r="RVO3" s="270"/>
      <c r="RVP3" s="272"/>
      <c r="RVQ3" s="270"/>
      <c r="RVR3" s="272"/>
      <c r="RVS3" s="270"/>
      <c r="RVT3" s="272"/>
      <c r="RVU3" s="270"/>
      <c r="RVV3" s="272"/>
      <c r="RVW3" s="270"/>
      <c r="RVX3" s="272"/>
      <c r="RVY3" s="270"/>
      <c r="RVZ3" s="272"/>
      <c r="RWA3" s="270"/>
      <c r="RWB3" s="272"/>
      <c r="RWC3" s="270"/>
      <c r="RWD3" s="272"/>
      <c r="RWE3" s="270"/>
      <c r="RWF3" s="272"/>
      <c r="RWG3" s="270"/>
      <c r="RWH3" s="272"/>
      <c r="RWI3" s="270"/>
      <c r="RWJ3" s="272"/>
      <c r="RWK3" s="270"/>
      <c r="RWL3" s="272"/>
      <c r="RWM3" s="270"/>
      <c r="RWN3" s="272"/>
      <c r="RWO3" s="270"/>
      <c r="RWP3" s="272"/>
      <c r="RWQ3" s="270"/>
      <c r="RWR3" s="272"/>
      <c r="RWS3" s="270"/>
      <c r="RWT3" s="272"/>
      <c r="RWU3" s="270"/>
      <c r="RWV3" s="272"/>
      <c r="RWW3" s="270"/>
      <c r="RWX3" s="272"/>
      <c r="RWY3" s="270"/>
      <c r="RWZ3" s="272"/>
      <c r="RXA3" s="270"/>
      <c r="RXB3" s="272"/>
      <c r="RXC3" s="270"/>
      <c r="RXD3" s="272"/>
      <c r="RXE3" s="270"/>
      <c r="RXF3" s="272"/>
      <c r="RXG3" s="270"/>
      <c r="RXH3" s="272"/>
      <c r="RXI3" s="270"/>
      <c r="RXJ3" s="272"/>
      <c r="RXK3" s="270"/>
      <c r="RXL3" s="272"/>
      <c r="RXM3" s="270"/>
      <c r="RXN3" s="272"/>
      <c r="RXO3" s="270"/>
      <c r="RXP3" s="272"/>
      <c r="RXQ3" s="270"/>
      <c r="RXR3" s="272"/>
      <c r="RXS3" s="270"/>
      <c r="RXT3" s="272"/>
      <c r="RXU3" s="270"/>
      <c r="RXV3" s="272"/>
      <c r="RXW3" s="270"/>
      <c r="RXX3" s="272"/>
      <c r="RXY3" s="270"/>
      <c r="RXZ3" s="272"/>
      <c r="RYA3" s="270"/>
      <c r="RYB3" s="272"/>
      <c r="RYC3" s="270"/>
      <c r="RYD3" s="272"/>
      <c r="RYE3" s="270"/>
      <c r="RYF3" s="272"/>
      <c r="RYG3" s="270"/>
      <c r="RYH3" s="272"/>
      <c r="RYI3" s="270"/>
      <c r="RYJ3" s="272"/>
      <c r="RYK3" s="270"/>
      <c r="RYL3" s="272"/>
      <c r="RYM3" s="270"/>
      <c r="RYN3" s="272"/>
      <c r="RYO3" s="270"/>
      <c r="RYP3" s="272"/>
      <c r="RYQ3" s="270"/>
      <c r="RYR3" s="272"/>
      <c r="RYS3" s="270"/>
      <c r="RYT3" s="272"/>
      <c r="RYU3" s="270"/>
      <c r="RYV3" s="272"/>
      <c r="RYW3" s="270"/>
      <c r="RYX3" s="272"/>
      <c r="RYY3" s="270"/>
      <c r="RYZ3" s="272"/>
      <c r="RZA3" s="270"/>
      <c r="RZB3" s="272"/>
      <c r="RZC3" s="270"/>
      <c r="RZD3" s="272"/>
      <c r="RZE3" s="270"/>
      <c r="RZF3" s="272"/>
      <c r="RZG3" s="270"/>
      <c r="RZH3" s="272"/>
      <c r="RZI3" s="270"/>
      <c r="RZJ3" s="272"/>
      <c r="RZK3" s="270"/>
      <c r="RZL3" s="272"/>
      <c r="RZM3" s="270"/>
      <c r="RZN3" s="272"/>
      <c r="RZO3" s="270"/>
      <c r="RZP3" s="272"/>
      <c r="RZQ3" s="270"/>
      <c r="RZR3" s="272"/>
      <c r="RZS3" s="270"/>
      <c r="RZT3" s="272"/>
      <c r="RZU3" s="270"/>
      <c r="RZV3" s="272"/>
      <c r="RZW3" s="270"/>
      <c r="RZX3" s="272"/>
      <c r="RZY3" s="270"/>
      <c r="RZZ3" s="272"/>
      <c r="SAA3" s="270"/>
      <c r="SAB3" s="272"/>
      <c r="SAC3" s="270"/>
      <c r="SAD3" s="272"/>
      <c r="SAE3" s="270"/>
      <c r="SAF3" s="272"/>
      <c r="SAG3" s="270"/>
      <c r="SAH3" s="272"/>
      <c r="SAI3" s="270"/>
      <c r="SAJ3" s="272"/>
      <c r="SAK3" s="270"/>
      <c r="SAL3" s="272"/>
      <c r="SAM3" s="270"/>
      <c r="SAN3" s="272"/>
      <c r="SAO3" s="270"/>
      <c r="SAP3" s="272"/>
      <c r="SAQ3" s="270"/>
      <c r="SAR3" s="272"/>
      <c r="SAS3" s="270"/>
      <c r="SAT3" s="272"/>
      <c r="SAU3" s="270"/>
      <c r="SAV3" s="272"/>
      <c r="SAW3" s="270"/>
      <c r="SAX3" s="272"/>
      <c r="SAY3" s="270"/>
      <c r="SAZ3" s="272"/>
      <c r="SBA3" s="270"/>
      <c r="SBB3" s="272"/>
      <c r="SBC3" s="270"/>
      <c r="SBD3" s="272"/>
      <c r="SBE3" s="270"/>
      <c r="SBF3" s="272"/>
      <c r="SBG3" s="270"/>
      <c r="SBH3" s="272"/>
      <c r="SBI3" s="270"/>
      <c r="SBJ3" s="272"/>
      <c r="SBK3" s="270"/>
      <c r="SBL3" s="272"/>
      <c r="SBM3" s="270"/>
      <c r="SBN3" s="272"/>
      <c r="SBO3" s="270"/>
      <c r="SBP3" s="272"/>
      <c r="SBQ3" s="270"/>
      <c r="SBR3" s="272"/>
      <c r="SBS3" s="270"/>
      <c r="SBT3" s="272"/>
      <c r="SBU3" s="270"/>
      <c r="SBV3" s="272"/>
      <c r="SBW3" s="270"/>
      <c r="SBX3" s="272"/>
      <c r="SBY3" s="270"/>
      <c r="SBZ3" s="272"/>
      <c r="SCA3" s="270"/>
      <c r="SCB3" s="272"/>
      <c r="SCC3" s="270"/>
      <c r="SCD3" s="272"/>
      <c r="SCE3" s="270"/>
      <c r="SCF3" s="272"/>
      <c r="SCG3" s="270"/>
      <c r="SCH3" s="272"/>
      <c r="SCI3" s="270"/>
      <c r="SCJ3" s="272"/>
      <c r="SCK3" s="270"/>
      <c r="SCL3" s="272"/>
      <c r="SCM3" s="270"/>
      <c r="SCN3" s="272"/>
      <c r="SCO3" s="270"/>
      <c r="SCP3" s="272"/>
      <c r="SCQ3" s="270"/>
      <c r="SCR3" s="272"/>
      <c r="SCS3" s="270"/>
      <c r="SCT3" s="272"/>
      <c r="SCU3" s="270"/>
      <c r="SCV3" s="272"/>
      <c r="SCW3" s="270"/>
      <c r="SCX3" s="272"/>
      <c r="SCY3" s="270"/>
      <c r="SCZ3" s="272"/>
      <c r="SDA3" s="270"/>
      <c r="SDB3" s="272"/>
      <c r="SDC3" s="270"/>
      <c r="SDD3" s="272"/>
      <c r="SDE3" s="270"/>
      <c r="SDF3" s="272"/>
      <c r="SDG3" s="270"/>
      <c r="SDH3" s="272"/>
      <c r="SDI3" s="270"/>
      <c r="SDJ3" s="272"/>
      <c r="SDK3" s="270"/>
      <c r="SDL3" s="272"/>
      <c r="SDM3" s="270"/>
      <c r="SDN3" s="272"/>
      <c r="SDO3" s="270"/>
      <c r="SDP3" s="272"/>
      <c r="SDQ3" s="270"/>
      <c r="SDR3" s="272"/>
      <c r="SDS3" s="270"/>
      <c r="SDT3" s="272"/>
      <c r="SDU3" s="270"/>
      <c r="SDV3" s="272"/>
      <c r="SDW3" s="270"/>
      <c r="SDX3" s="272"/>
      <c r="SDY3" s="270"/>
      <c r="SDZ3" s="272"/>
      <c r="SEA3" s="270"/>
      <c r="SEB3" s="272"/>
      <c r="SEC3" s="270"/>
      <c r="SED3" s="272"/>
      <c r="SEE3" s="270"/>
      <c r="SEF3" s="272"/>
      <c r="SEG3" s="270"/>
      <c r="SEH3" s="272"/>
      <c r="SEI3" s="270"/>
      <c r="SEJ3" s="272"/>
      <c r="SEK3" s="270"/>
      <c r="SEL3" s="272"/>
      <c r="SEM3" s="270"/>
      <c r="SEN3" s="272"/>
      <c r="SEO3" s="270"/>
      <c r="SEP3" s="272"/>
      <c r="SEQ3" s="270"/>
      <c r="SER3" s="272"/>
      <c r="SES3" s="270"/>
      <c r="SET3" s="272"/>
      <c r="SEU3" s="270"/>
      <c r="SEV3" s="272"/>
      <c r="SEW3" s="270"/>
      <c r="SEX3" s="272"/>
      <c r="SEY3" s="270"/>
      <c r="SEZ3" s="272"/>
      <c r="SFA3" s="270"/>
      <c r="SFB3" s="272"/>
      <c r="SFC3" s="270"/>
      <c r="SFD3" s="272"/>
      <c r="SFE3" s="270"/>
      <c r="SFF3" s="272"/>
      <c r="SFG3" s="270"/>
      <c r="SFH3" s="272"/>
      <c r="SFI3" s="270"/>
      <c r="SFJ3" s="272"/>
      <c r="SFK3" s="270"/>
      <c r="SFL3" s="272"/>
      <c r="SFM3" s="270"/>
      <c r="SFN3" s="272"/>
      <c r="SFO3" s="270"/>
      <c r="SFP3" s="272"/>
      <c r="SFQ3" s="270"/>
      <c r="SFR3" s="272"/>
      <c r="SFS3" s="270"/>
      <c r="SFT3" s="272"/>
      <c r="SFU3" s="270"/>
      <c r="SFV3" s="272"/>
      <c r="SFW3" s="270"/>
      <c r="SFX3" s="272"/>
      <c r="SFY3" s="270"/>
      <c r="SFZ3" s="272"/>
      <c r="SGA3" s="270"/>
      <c r="SGB3" s="272"/>
      <c r="SGC3" s="270"/>
      <c r="SGD3" s="272"/>
      <c r="SGE3" s="270"/>
      <c r="SGF3" s="272"/>
      <c r="SGG3" s="270"/>
      <c r="SGH3" s="272"/>
      <c r="SGI3" s="270"/>
      <c r="SGJ3" s="272"/>
      <c r="SGK3" s="270"/>
      <c r="SGL3" s="272"/>
      <c r="SGM3" s="270"/>
      <c r="SGN3" s="272"/>
      <c r="SGO3" s="270"/>
      <c r="SGP3" s="272"/>
      <c r="SGQ3" s="270"/>
      <c r="SGR3" s="272"/>
      <c r="SGS3" s="270"/>
      <c r="SGT3" s="272"/>
      <c r="SGU3" s="270"/>
      <c r="SGV3" s="272"/>
      <c r="SGW3" s="270"/>
      <c r="SGX3" s="272"/>
      <c r="SGY3" s="270"/>
      <c r="SGZ3" s="272"/>
      <c r="SHA3" s="270"/>
      <c r="SHB3" s="272"/>
      <c r="SHC3" s="270"/>
      <c r="SHD3" s="272"/>
      <c r="SHE3" s="270"/>
      <c r="SHF3" s="272"/>
      <c r="SHG3" s="270"/>
      <c r="SHH3" s="272"/>
      <c r="SHI3" s="270"/>
      <c r="SHJ3" s="272"/>
      <c r="SHK3" s="270"/>
      <c r="SHL3" s="272"/>
      <c r="SHM3" s="270"/>
      <c r="SHN3" s="272"/>
      <c r="SHO3" s="270"/>
      <c r="SHP3" s="272"/>
      <c r="SHQ3" s="270"/>
      <c r="SHR3" s="272"/>
      <c r="SHS3" s="270"/>
      <c r="SHT3" s="272"/>
      <c r="SHU3" s="270"/>
      <c r="SHV3" s="272"/>
      <c r="SHW3" s="270"/>
      <c r="SHX3" s="272"/>
      <c r="SHY3" s="270"/>
      <c r="SHZ3" s="272"/>
      <c r="SIA3" s="270"/>
      <c r="SIB3" s="272"/>
      <c r="SIC3" s="270"/>
      <c r="SID3" s="272"/>
      <c r="SIE3" s="270"/>
      <c r="SIF3" s="272"/>
      <c r="SIG3" s="270"/>
      <c r="SIH3" s="272"/>
      <c r="SII3" s="270"/>
      <c r="SIJ3" s="272"/>
      <c r="SIK3" s="270"/>
      <c r="SIL3" s="272"/>
      <c r="SIM3" s="270"/>
      <c r="SIN3" s="272"/>
      <c r="SIO3" s="270"/>
      <c r="SIP3" s="272"/>
      <c r="SIQ3" s="270"/>
      <c r="SIR3" s="272"/>
      <c r="SIS3" s="270"/>
      <c r="SIT3" s="272"/>
      <c r="SIU3" s="270"/>
      <c r="SIV3" s="272"/>
      <c r="SIW3" s="270"/>
      <c r="SIX3" s="272"/>
      <c r="SIY3" s="270"/>
      <c r="SIZ3" s="272"/>
      <c r="SJA3" s="270"/>
      <c r="SJB3" s="272"/>
      <c r="SJC3" s="270"/>
      <c r="SJD3" s="272"/>
      <c r="SJE3" s="270"/>
      <c r="SJF3" s="272"/>
      <c r="SJG3" s="270"/>
      <c r="SJH3" s="272"/>
      <c r="SJI3" s="270"/>
      <c r="SJJ3" s="272"/>
      <c r="SJK3" s="270"/>
      <c r="SJL3" s="272"/>
      <c r="SJM3" s="270"/>
      <c r="SJN3" s="272"/>
      <c r="SJO3" s="270"/>
      <c r="SJP3" s="272"/>
      <c r="SJQ3" s="270"/>
      <c r="SJR3" s="272"/>
      <c r="SJS3" s="270"/>
      <c r="SJT3" s="272"/>
      <c r="SJU3" s="270"/>
      <c r="SJV3" s="272"/>
      <c r="SJW3" s="270"/>
      <c r="SJX3" s="272"/>
      <c r="SJY3" s="270"/>
      <c r="SJZ3" s="272"/>
      <c r="SKA3" s="270"/>
      <c r="SKB3" s="272"/>
      <c r="SKC3" s="270"/>
      <c r="SKD3" s="272"/>
      <c r="SKE3" s="270"/>
      <c r="SKF3" s="272"/>
      <c r="SKG3" s="270"/>
      <c r="SKH3" s="272"/>
      <c r="SKI3" s="270"/>
      <c r="SKJ3" s="272"/>
      <c r="SKK3" s="270"/>
      <c r="SKL3" s="272"/>
      <c r="SKM3" s="270"/>
      <c r="SKN3" s="272"/>
      <c r="SKO3" s="270"/>
      <c r="SKP3" s="272"/>
      <c r="SKQ3" s="270"/>
      <c r="SKR3" s="272"/>
      <c r="SKS3" s="270"/>
      <c r="SKT3" s="272"/>
      <c r="SKU3" s="270"/>
      <c r="SKV3" s="272"/>
      <c r="SKW3" s="270"/>
      <c r="SKX3" s="272"/>
      <c r="SKY3" s="270"/>
      <c r="SKZ3" s="272"/>
      <c r="SLA3" s="270"/>
      <c r="SLB3" s="272"/>
      <c r="SLC3" s="270"/>
      <c r="SLD3" s="272"/>
      <c r="SLE3" s="270"/>
      <c r="SLF3" s="272"/>
      <c r="SLG3" s="270"/>
      <c r="SLH3" s="272"/>
      <c r="SLI3" s="270"/>
      <c r="SLJ3" s="272"/>
      <c r="SLK3" s="270"/>
      <c r="SLL3" s="272"/>
      <c r="SLM3" s="270"/>
      <c r="SLN3" s="272"/>
      <c r="SLO3" s="270"/>
      <c r="SLP3" s="272"/>
      <c r="SLQ3" s="270"/>
      <c r="SLR3" s="272"/>
      <c r="SLS3" s="270"/>
      <c r="SLT3" s="272"/>
      <c r="SLU3" s="270"/>
      <c r="SLV3" s="272"/>
      <c r="SLW3" s="270"/>
      <c r="SLX3" s="272"/>
      <c r="SLY3" s="270"/>
      <c r="SLZ3" s="272"/>
      <c r="SMA3" s="270"/>
      <c r="SMB3" s="272"/>
      <c r="SMC3" s="270"/>
      <c r="SMD3" s="272"/>
      <c r="SME3" s="270"/>
      <c r="SMF3" s="272"/>
      <c r="SMG3" s="270"/>
      <c r="SMH3" s="272"/>
      <c r="SMI3" s="270"/>
      <c r="SMJ3" s="272"/>
      <c r="SMK3" s="270"/>
      <c r="SML3" s="272"/>
      <c r="SMM3" s="270"/>
      <c r="SMN3" s="272"/>
      <c r="SMO3" s="270"/>
      <c r="SMP3" s="272"/>
      <c r="SMQ3" s="270"/>
      <c r="SMR3" s="272"/>
      <c r="SMS3" s="270"/>
      <c r="SMT3" s="272"/>
      <c r="SMU3" s="270"/>
      <c r="SMV3" s="272"/>
      <c r="SMW3" s="270"/>
      <c r="SMX3" s="272"/>
      <c r="SMY3" s="270"/>
      <c r="SMZ3" s="272"/>
      <c r="SNA3" s="270"/>
      <c r="SNB3" s="272"/>
      <c r="SNC3" s="270"/>
      <c r="SND3" s="272"/>
      <c r="SNE3" s="270"/>
      <c r="SNF3" s="272"/>
      <c r="SNG3" s="270"/>
      <c r="SNH3" s="272"/>
      <c r="SNI3" s="270"/>
      <c r="SNJ3" s="272"/>
      <c r="SNK3" s="270"/>
      <c r="SNL3" s="272"/>
      <c r="SNM3" s="270"/>
      <c r="SNN3" s="272"/>
      <c r="SNO3" s="270"/>
      <c r="SNP3" s="272"/>
      <c r="SNQ3" s="270"/>
      <c r="SNR3" s="272"/>
      <c r="SNS3" s="270"/>
      <c r="SNT3" s="272"/>
      <c r="SNU3" s="270"/>
      <c r="SNV3" s="272"/>
      <c r="SNW3" s="270"/>
      <c r="SNX3" s="272"/>
      <c r="SNY3" s="270"/>
      <c r="SNZ3" s="272"/>
      <c r="SOA3" s="270"/>
      <c r="SOB3" s="272"/>
      <c r="SOC3" s="270"/>
      <c r="SOD3" s="272"/>
      <c r="SOE3" s="270"/>
      <c r="SOF3" s="272"/>
      <c r="SOG3" s="270"/>
      <c r="SOH3" s="272"/>
      <c r="SOI3" s="270"/>
      <c r="SOJ3" s="272"/>
      <c r="SOK3" s="270"/>
      <c r="SOL3" s="272"/>
      <c r="SOM3" s="270"/>
      <c r="SON3" s="272"/>
      <c r="SOO3" s="270"/>
      <c r="SOP3" s="272"/>
      <c r="SOQ3" s="270"/>
      <c r="SOR3" s="272"/>
      <c r="SOS3" s="270"/>
      <c r="SOT3" s="272"/>
      <c r="SOU3" s="270"/>
      <c r="SOV3" s="272"/>
      <c r="SOW3" s="270"/>
      <c r="SOX3" s="272"/>
      <c r="SOY3" s="270"/>
      <c r="SOZ3" s="272"/>
      <c r="SPA3" s="270"/>
      <c r="SPB3" s="272"/>
      <c r="SPC3" s="270"/>
      <c r="SPD3" s="272"/>
      <c r="SPE3" s="270"/>
      <c r="SPF3" s="272"/>
      <c r="SPG3" s="270"/>
      <c r="SPH3" s="272"/>
      <c r="SPI3" s="270"/>
      <c r="SPJ3" s="272"/>
      <c r="SPK3" s="270"/>
      <c r="SPL3" s="272"/>
      <c r="SPM3" s="270"/>
      <c r="SPN3" s="272"/>
      <c r="SPO3" s="270"/>
      <c r="SPP3" s="272"/>
      <c r="SPQ3" s="270"/>
      <c r="SPR3" s="272"/>
      <c r="SPS3" s="270"/>
      <c r="SPT3" s="272"/>
      <c r="SPU3" s="270"/>
      <c r="SPV3" s="272"/>
      <c r="SPW3" s="270"/>
      <c r="SPX3" s="272"/>
      <c r="SPY3" s="270"/>
      <c r="SPZ3" s="272"/>
      <c r="SQA3" s="270"/>
      <c r="SQB3" s="272"/>
      <c r="SQC3" s="270"/>
      <c r="SQD3" s="272"/>
      <c r="SQE3" s="270"/>
      <c r="SQF3" s="272"/>
      <c r="SQG3" s="270"/>
      <c r="SQH3" s="272"/>
      <c r="SQI3" s="270"/>
      <c r="SQJ3" s="272"/>
      <c r="SQK3" s="270"/>
      <c r="SQL3" s="272"/>
      <c r="SQM3" s="270"/>
      <c r="SQN3" s="272"/>
      <c r="SQO3" s="270"/>
      <c r="SQP3" s="272"/>
      <c r="SQQ3" s="270"/>
      <c r="SQR3" s="272"/>
      <c r="SQS3" s="270"/>
      <c r="SQT3" s="272"/>
      <c r="SQU3" s="270"/>
      <c r="SQV3" s="272"/>
      <c r="SQW3" s="270"/>
      <c r="SQX3" s="272"/>
      <c r="SQY3" s="270"/>
      <c r="SQZ3" s="272"/>
      <c r="SRA3" s="270"/>
      <c r="SRB3" s="272"/>
      <c r="SRC3" s="270"/>
      <c r="SRD3" s="272"/>
      <c r="SRE3" s="270"/>
      <c r="SRF3" s="272"/>
      <c r="SRG3" s="270"/>
      <c r="SRH3" s="272"/>
      <c r="SRI3" s="270"/>
      <c r="SRJ3" s="272"/>
      <c r="SRK3" s="270"/>
      <c r="SRL3" s="272"/>
      <c r="SRM3" s="270"/>
      <c r="SRN3" s="272"/>
      <c r="SRO3" s="270"/>
      <c r="SRP3" s="272"/>
      <c r="SRQ3" s="270"/>
      <c r="SRR3" s="272"/>
      <c r="SRS3" s="270"/>
      <c r="SRT3" s="272"/>
      <c r="SRU3" s="270"/>
      <c r="SRV3" s="272"/>
      <c r="SRW3" s="270"/>
      <c r="SRX3" s="272"/>
      <c r="SRY3" s="270"/>
      <c r="SRZ3" s="272"/>
      <c r="SSA3" s="270"/>
      <c r="SSB3" s="272"/>
      <c r="SSC3" s="270"/>
      <c r="SSD3" s="272"/>
      <c r="SSE3" s="270"/>
      <c r="SSF3" s="272"/>
      <c r="SSG3" s="270"/>
      <c r="SSH3" s="272"/>
      <c r="SSI3" s="270"/>
      <c r="SSJ3" s="272"/>
      <c r="SSK3" s="270"/>
      <c r="SSL3" s="272"/>
      <c r="SSM3" s="270"/>
      <c r="SSN3" s="272"/>
      <c r="SSO3" s="270"/>
      <c r="SSP3" s="272"/>
      <c r="SSQ3" s="270"/>
      <c r="SSR3" s="272"/>
      <c r="SSS3" s="270"/>
      <c r="SST3" s="272"/>
      <c r="SSU3" s="270"/>
      <c r="SSV3" s="272"/>
      <c r="SSW3" s="270"/>
      <c r="SSX3" s="272"/>
      <c r="SSY3" s="270"/>
      <c r="SSZ3" s="272"/>
      <c r="STA3" s="270"/>
      <c r="STB3" s="272"/>
      <c r="STC3" s="270"/>
      <c r="STD3" s="272"/>
      <c r="STE3" s="270"/>
      <c r="STF3" s="272"/>
      <c r="STG3" s="270"/>
      <c r="STH3" s="272"/>
      <c r="STI3" s="270"/>
      <c r="STJ3" s="272"/>
      <c r="STK3" s="270"/>
      <c r="STL3" s="272"/>
      <c r="STM3" s="270"/>
      <c r="STN3" s="272"/>
      <c r="STO3" s="270"/>
      <c r="STP3" s="272"/>
      <c r="STQ3" s="270"/>
      <c r="STR3" s="272"/>
      <c r="STS3" s="270"/>
      <c r="STT3" s="272"/>
      <c r="STU3" s="270"/>
      <c r="STV3" s="272"/>
      <c r="STW3" s="270"/>
      <c r="STX3" s="272"/>
      <c r="STY3" s="270"/>
      <c r="STZ3" s="272"/>
      <c r="SUA3" s="270"/>
      <c r="SUB3" s="272"/>
      <c r="SUC3" s="270"/>
      <c r="SUD3" s="272"/>
      <c r="SUE3" s="270"/>
      <c r="SUF3" s="272"/>
      <c r="SUG3" s="270"/>
      <c r="SUH3" s="272"/>
      <c r="SUI3" s="270"/>
      <c r="SUJ3" s="272"/>
      <c r="SUK3" s="270"/>
      <c r="SUL3" s="272"/>
      <c r="SUM3" s="270"/>
      <c r="SUN3" s="272"/>
      <c r="SUO3" s="270"/>
      <c r="SUP3" s="272"/>
      <c r="SUQ3" s="270"/>
      <c r="SUR3" s="272"/>
      <c r="SUS3" s="270"/>
      <c r="SUT3" s="272"/>
      <c r="SUU3" s="270"/>
      <c r="SUV3" s="272"/>
      <c r="SUW3" s="270"/>
      <c r="SUX3" s="272"/>
      <c r="SUY3" s="270"/>
      <c r="SUZ3" s="272"/>
      <c r="SVA3" s="270"/>
      <c r="SVB3" s="272"/>
      <c r="SVC3" s="270"/>
      <c r="SVD3" s="272"/>
      <c r="SVE3" s="270"/>
      <c r="SVF3" s="272"/>
      <c r="SVG3" s="270"/>
      <c r="SVH3" s="272"/>
      <c r="SVI3" s="270"/>
      <c r="SVJ3" s="272"/>
      <c r="SVK3" s="270"/>
      <c r="SVL3" s="272"/>
      <c r="SVM3" s="270"/>
      <c r="SVN3" s="272"/>
      <c r="SVO3" s="270"/>
      <c r="SVP3" s="272"/>
      <c r="SVQ3" s="270"/>
      <c r="SVR3" s="272"/>
      <c r="SVS3" s="270"/>
      <c r="SVT3" s="272"/>
      <c r="SVU3" s="270"/>
      <c r="SVV3" s="272"/>
      <c r="SVW3" s="270"/>
      <c r="SVX3" s="272"/>
      <c r="SVY3" s="270"/>
      <c r="SVZ3" s="272"/>
      <c r="SWA3" s="270"/>
      <c r="SWB3" s="272"/>
      <c r="SWC3" s="270"/>
      <c r="SWD3" s="272"/>
      <c r="SWE3" s="270"/>
      <c r="SWF3" s="272"/>
      <c r="SWG3" s="270"/>
      <c r="SWH3" s="272"/>
      <c r="SWI3" s="270"/>
      <c r="SWJ3" s="272"/>
      <c r="SWK3" s="270"/>
      <c r="SWL3" s="272"/>
      <c r="SWM3" s="270"/>
      <c r="SWN3" s="272"/>
      <c r="SWO3" s="270"/>
      <c r="SWP3" s="272"/>
      <c r="SWQ3" s="270"/>
      <c r="SWR3" s="272"/>
      <c r="SWS3" s="270"/>
      <c r="SWT3" s="272"/>
      <c r="SWU3" s="270"/>
      <c r="SWV3" s="272"/>
      <c r="SWW3" s="270"/>
      <c r="SWX3" s="272"/>
      <c r="SWY3" s="270"/>
      <c r="SWZ3" s="272"/>
      <c r="SXA3" s="270"/>
      <c r="SXB3" s="272"/>
      <c r="SXC3" s="270"/>
      <c r="SXD3" s="272"/>
      <c r="SXE3" s="270"/>
      <c r="SXF3" s="272"/>
      <c r="SXG3" s="270"/>
      <c r="SXH3" s="272"/>
      <c r="SXI3" s="270"/>
      <c r="SXJ3" s="272"/>
      <c r="SXK3" s="270"/>
      <c r="SXL3" s="272"/>
      <c r="SXM3" s="270"/>
      <c r="SXN3" s="272"/>
      <c r="SXO3" s="270"/>
      <c r="SXP3" s="272"/>
      <c r="SXQ3" s="270"/>
      <c r="SXR3" s="272"/>
      <c r="SXS3" s="270"/>
      <c r="SXT3" s="272"/>
      <c r="SXU3" s="270"/>
      <c r="SXV3" s="272"/>
      <c r="SXW3" s="270"/>
      <c r="SXX3" s="272"/>
      <c r="SXY3" s="270"/>
      <c r="SXZ3" s="272"/>
      <c r="SYA3" s="270"/>
      <c r="SYB3" s="272"/>
      <c r="SYC3" s="270"/>
      <c r="SYD3" s="272"/>
      <c r="SYE3" s="270"/>
      <c r="SYF3" s="272"/>
      <c r="SYG3" s="270"/>
      <c r="SYH3" s="272"/>
      <c r="SYI3" s="270"/>
      <c r="SYJ3" s="272"/>
      <c r="SYK3" s="270"/>
      <c r="SYL3" s="272"/>
      <c r="SYM3" s="270"/>
      <c r="SYN3" s="272"/>
      <c r="SYO3" s="270"/>
      <c r="SYP3" s="272"/>
      <c r="SYQ3" s="270"/>
      <c r="SYR3" s="272"/>
      <c r="SYS3" s="270"/>
      <c r="SYT3" s="272"/>
      <c r="SYU3" s="270"/>
      <c r="SYV3" s="272"/>
      <c r="SYW3" s="270"/>
      <c r="SYX3" s="272"/>
      <c r="SYY3" s="270"/>
      <c r="SYZ3" s="272"/>
      <c r="SZA3" s="270"/>
      <c r="SZB3" s="272"/>
      <c r="SZC3" s="270"/>
      <c r="SZD3" s="272"/>
      <c r="SZE3" s="270"/>
      <c r="SZF3" s="272"/>
      <c r="SZG3" s="270"/>
      <c r="SZH3" s="272"/>
      <c r="SZI3" s="270"/>
      <c r="SZJ3" s="272"/>
      <c r="SZK3" s="270"/>
      <c r="SZL3" s="272"/>
      <c r="SZM3" s="270"/>
      <c r="SZN3" s="272"/>
      <c r="SZO3" s="270"/>
      <c r="SZP3" s="272"/>
      <c r="SZQ3" s="270"/>
      <c r="SZR3" s="272"/>
      <c r="SZS3" s="270"/>
      <c r="SZT3" s="272"/>
      <c r="SZU3" s="270"/>
      <c r="SZV3" s="272"/>
      <c r="SZW3" s="270"/>
      <c r="SZX3" s="272"/>
      <c r="SZY3" s="270"/>
      <c r="SZZ3" s="272"/>
      <c r="TAA3" s="270"/>
      <c r="TAB3" s="272"/>
      <c r="TAC3" s="270"/>
      <c r="TAD3" s="272"/>
      <c r="TAE3" s="270"/>
      <c r="TAF3" s="272"/>
      <c r="TAG3" s="270"/>
      <c r="TAH3" s="272"/>
      <c r="TAI3" s="270"/>
      <c r="TAJ3" s="272"/>
      <c r="TAK3" s="270"/>
      <c r="TAL3" s="272"/>
      <c r="TAM3" s="270"/>
      <c r="TAN3" s="272"/>
      <c r="TAO3" s="270"/>
      <c r="TAP3" s="272"/>
      <c r="TAQ3" s="270"/>
      <c r="TAR3" s="272"/>
      <c r="TAS3" s="270"/>
      <c r="TAT3" s="272"/>
      <c r="TAU3" s="270"/>
      <c r="TAV3" s="272"/>
      <c r="TAW3" s="270"/>
      <c r="TAX3" s="272"/>
      <c r="TAY3" s="270"/>
      <c r="TAZ3" s="272"/>
      <c r="TBA3" s="270"/>
      <c r="TBB3" s="272"/>
      <c r="TBC3" s="270"/>
      <c r="TBD3" s="272"/>
      <c r="TBE3" s="270"/>
      <c r="TBF3" s="272"/>
      <c r="TBG3" s="270"/>
      <c r="TBH3" s="272"/>
      <c r="TBI3" s="270"/>
      <c r="TBJ3" s="272"/>
      <c r="TBK3" s="270"/>
      <c r="TBL3" s="272"/>
      <c r="TBM3" s="270"/>
      <c r="TBN3" s="272"/>
      <c r="TBO3" s="270"/>
      <c r="TBP3" s="272"/>
      <c r="TBQ3" s="270"/>
      <c r="TBR3" s="272"/>
      <c r="TBS3" s="270"/>
      <c r="TBT3" s="272"/>
      <c r="TBU3" s="270"/>
      <c r="TBV3" s="272"/>
      <c r="TBW3" s="270"/>
      <c r="TBX3" s="272"/>
      <c r="TBY3" s="270"/>
      <c r="TBZ3" s="272"/>
      <c r="TCA3" s="270"/>
      <c r="TCB3" s="272"/>
      <c r="TCC3" s="270"/>
      <c r="TCD3" s="272"/>
      <c r="TCE3" s="270"/>
      <c r="TCF3" s="272"/>
      <c r="TCG3" s="270"/>
      <c r="TCH3" s="272"/>
      <c r="TCI3" s="270"/>
      <c r="TCJ3" s="272"/>
      <c r="TCK3" s="270"/>
      <c r="TCL3" s="272"/>
      <c r="TCM3" s="270"/>
      <c r="TCN3" s="272"/>
      <c r="TCO3" s="270"/>
      <c r="TCP3" s="272"/>
      <c r="TCQ3" s="270"/>
      <c r="TCR3" s="272"/>
      <c r="TCS3" s="270"/>
      <c r="TCT3" s="272"/>
      <c r="TCU3" s="270"/>
      <c r="TCV3" s="272"/>
      <c r="TCW3" s="270"/>
      <c r="TCX3" s="272"/>
      <c r="TCY3" s="270"/>
      <c r="TCZ3" s="272"/>
      <c r="TDA3" s="270"/>
      <c r="TDB3" s="272"/>
      <c r="TDC3" s="270"/>
      <c r="TDD3" s="272"/>
      <c r="TDE3" s="270"/>
      <c r="TDF3" s="272"/>
      <c r="TDG3" s="270"/>
      <c r="TDH3" s="272"/>
      <c r="TDI3" s="270"/>
      <c r="TDJ3" s="272"/>
      <c r="TDK3" s="270"/>
      <c r="TDL3" s="272"/>
      <c r="TDM3" s="270"/>
      <c r="TDN3" s="272"/>
      <c r="TDO3" s="270"/>
      <c r="TDP3" s="272"/>
      <c r="TDQ3" s="270"/>
      <c r="TDR3" s="272"/>
      <c r="TDS3" s="270"/>
      <c r="TDT3" s="272"/>
      <c r="TDU3" s="270"/>
      <c r="TDV3" s="272"/>
      <c r="TDW3" s="270"/>
      <c r="TDX3" s="272"/>
      <c r="TDY3" s="270"/>
      <c r="TDZ3" s="272"/>
      <c r="TEA3" s="270"/>
      <c r="TEB3" s="272"/>
      <c r="TEC3" s="270"/>
      <c r="TED3" s="272"/>
      <c r="TEE3" s="270"/>
      <c r="TEF3" s="272"/>
      <c r="TEG3" s="270"/>
      <c r="TEH3" s="272"/>
      <c r="TEI3" s="270"/>
      <c r="TEJ3" s="272"/>
      <c r="TEK3" s="270"/>
      <c r="TEL3" s="272"/>
      <c r="TEM3" s="270"/>
      <c r="TEN3" s="272"/>
      <c r="TEO3" s="270"/>
      <c r="TEP3" s="272"/>
      <c r="TEQ3" s="270"/>
      <c r="TER3" s="272"/>
      <c r="TES3" s="270"/>
      <c r="TET3" s="272"/>
      <c r="TEU3" s="270"/>
      <c r="TEV3" s="272"/>
      <c r="TEW3" s="270"/>
      <c r="TEX3" s="272"/>
      <c r="TEY3" s="270"/>
      <c r="TEZ3" s="272"/>
      <c r="TFA3" s="270"/>
      <c r="TFB3" s="272"/>
      <c r="TFC3" s="270"/>
      <c r="TFD3" s="272"/>
      <c r="TFE3" s="270"/>
      <c r="TFF3" s="272"/>
      <c r="TFG3" s="270"/>
      <c r="TFH3" s="272"/>
      <c r="TFI3" s="270"/>
      <c r="TFJ3" s="272"/>
      <c r="TFK3" s="270"/>
      <c r="TFL3" s="272"/>
      <c r="TFM3" s="270"/>
      <c r="TFN3" s="272"/>
      <c r="TFO3" s="270"/>
      <c r="TFP3" s="272"/>
      <c r="TFQ3" s="270"/>
      <c r="TFR3" s="272"/>
      <c r="TFS3" s="270"/>
      <c r="TFT3" s="272"/>
      <c r="TFU3" s="270"/>
      <c r="TFV3" s="272"/>
      <c r="TFW3" s="270"/>
      <c r="TFX3" s="272"/>
      <c r="TFY3" s="270"/>
      <c r="TFZ3" s="272"/>
      <c r="TGA3" s="270"/>
      <c r="TGB3" s="272"/>
      <c r="TGC3" s="270"/>
      <c r="TGD3" s="272"/>
      <c r="TGE3" s="270"/>
      <c r="TGF3" s="272"/>
      <c r="TGG3" s="270"/>
      <c r="TGH3" s="272"/>
      <c r="TGI3" s="270"/>
      <c r="TGJ3" s="272"/>
      <c r="TGK3" s="270"/>
      <c r="TGL3" s="272"/>
      <c r="TGM3" s="270"/>
      <c r="TGN3" s="272"/>
      <c r="TGO3" s="270"/>
      <c r="TGP3" s="272"/>
      <c r="TGQ3" s="270"/>
      <c r="TGR3" s="272"/>
      <c r="TGS3" s="270"/>
      <c r="TGT3" s="272"/>
      <c r="TGU3" s="270"/>
      <c r="TGV3" s="272"/>
      <c r="TGW3" s="270"/>
      <c r="TGX3" s="272"/>
      <c r="TGY3" s="270"/>
      <c r="TGZ3" s="272"/>
      <c r="THA3" s="270"/>
      <c r="THB3" s="272"/>
      <c r="THC3" s="270"/>
      <c r="THD3" s="272"/>
      <c r="THE3" s="270"/>
      <c r="THF3" s="272"/>
      <c r="THG3" s="270"/>
      <c r="THH3" s="272"/>
      <c r="THI3" s="270"/>
      <c r="THJ3" s="272"/>
      <c r="THK3" s="270"/>
      <c r="THL3" s="272"/>
      <c r="THM3" s="270"/>
      <c r="THN3" s="272"/>
      <c r="THO3" s="270"/>
      <c r="THP3" s="272"/>
      <c r="THQ3" s="270"/>
      <c r="THR3" s="272"/>
      <c r="THS3" s="270"/>
      <c r="THT3" s="272"/>
      <c r="THU3" s="270"/>
      <c r="THV3" s="272"/>
      <c r="THW3" s="270"/>
      <c r="THX3" s="272"/>
      <c r="THY3" s="270"/>
      <c r="THZ3" s="272"/>
      <c r="TIA3" s="270"/>
      <c r="TIB3" s="272"/>
      <c r="TIC3" s="270"/>
      <c r="TID3" s="272"/>
      <c r="TIE3" s="270"/>
      <c r="TIF3" s="272"/>
      <c r="TIG3" s="270"/>
      <c r="TIH3" s="272"/>
      <c r="TII3" s="270"/>
      <c r="TIJ3" s="272"/>
      <c r="TIK3" s="270"/>
      <c r="TIL3" s="272"/>
      <c r="TIM3" s="270"/>
      <c r="TIN3" s="272"/>
      <c r="TIO3" s="270"/>
      <c r="TIP3" s="272"/>
      <c r="TIQ3" s="270"/>
      <c r="TIR3" s="272"/>
      <c r="TIS3" s="270"/>
      <c r="TIT3" s="272"/>
      <c r="TIU3" s="270"/>
      <c r="TIV3" s="272"/>
      <c r="TIW3" s="270"/>
      <c r="TIX3" s="272"/>
      <c r="TIY3" s="270"/>
      <c r="TIZ3" s="272"/>
      <c r="TJA3" s="270"/>
      <c r="TJB3" s="272"/>
      <c r="TJC3" s="270"/>
      <c r="TJD3" s="272"/>
      <c r="TJE3" s="270"/>
      <c r="TJF3" s="272"/>
      <c r="TJG3" s="270"/>
      <c r="TJH3" s="272"/>
      <c r="TJI3" s="270"/>
      <c r="TJJ3" s="272"/>
      <c r="TJK3" s="270"/>
      <c r="TJL3" s="272"/>
      <c r="TJM3" s="270"/>
      <c r="TJN3" s="272"/>
      <c r="TJO3" s="270"/>
      <c r="TJP3" s="272"/>
      <c r="TJQ3" s="270"/>
      <c r="TJR3" s="272"/>
      <c r="TJS3" s="270"/>
      <c r="TJT3" s="272"/>
      <c r="TJU3" s="270"/>
      <c r="TJV3" s="272"/>
      <c r="TJW3" s="270"/>
      <c r="TJX3" s="272"/>
      <c r="TJY3" s="270"/>
      <c r="TJZ3" s="272"/>
      <c r="TKA3" s="270"/>
      <c r="TKB3" s="272"/>
      <c r="TKC3" s="270"/>
      <c r="TKD3" s="272"/>
      <c r="TKE3" s="270"/>
      <c r="TKF3" s="272"/>
      <c r="TKG3" s="270"/>
      <c r="TKH3" s="272"/>
      <c r="TKI3" s="270"/>
      <c r="TKJ3" s="272"/>
      <c r="TKK3" s="270"/>
      <c r="TKL3" s="272"/>
      <c r="TKM3" s="270"/>
      <c r="TKN3" s="272"/>
      <c r="TKO3" s="270"/>
      <c r="TKP3" s="272"/>
      <c r="TKQ3" s="270"/>
      <c r="TKR3" s="272"/>
      <c r="TKS3" s="270"/>
      <c r="TKT3" s="272"/>
      <c r="TKU3" s="270"/>
      <c r="TKV3" s="272"/>
      <c r="TKW3" s="270"/>
      <c r="TKX3" s="272"/>
      <c r="TKY3" s="270"/>
      <c r="TKZ3" s="272"/>
      <c r="TLA3" s="270"/>
      <c r="TLB3" s="272"/>
      <c r="TLC3" s="270"/>
      <c r="TLD3" s="272"/>
      <c r="TLE3" s="270"/>
      <c r="TLF3" s="272"/>
      <c r="TLG3" s="270"/>
      <c r="TLH3" s="272"/>
      <c r="TLI3" s="270"/>
      <c r="TLJ3" s="272"/>
      <c r="TLK3" s="270"/>
      <c r="TLL3" s="272"/>
      <c r="TLM3" s="270"/>
      <c r="TLN3" s="272"/>
      <c r="TLO3" s="270"/>
      <c r="TLP3" s="272"/>
      <c r="TLQ3" s="270"/>
      <c r="TLR3" s="272"/>
      <c r="TLS3" s="270"/>
      <c r="TLT3" s="272"/>
      <c r="TLU3" s="270"/>
      <c r="TLV3" s="272"/>
      <c r="TLW3" s="270"/>
      <c r="TLX3" s="272"/>
      <c r="TLY3" s="270"/>
      <c r="TLZ3" s="272"/>
      <c r="TMA3" s="270"/>
      <c r="TMB3" s="272"/>
      <c r="TMC3" s="270"/>
      <c r="TMD3" s="272"/>
      <c r="TME3" s="270"/>
      <c r="TMF3" s="272"/>
      <c r="TMG3" s="270"/>
      <c r="TMH3" s="272"/>
      <c r="TMI3" s="270"/>
      <c r="TMJ3" s="272"/>
      <c r="TMK3" s="270"/>
      <c r="TML3" s="272"/>
      <c r="TMM3" s="270"/>
      <c r="TMN3" s="272"/>
      <c r="TMO3" s="270"/>
      <c r="TMP3" s="272"/>
      <c r="TMQ3" s="270"/>
      <c r="TMR3" s="272"/>
      <c r="TMS3" s="270"/>
      <c r="TMT3" s="272"/>
      <c r="TMU3" s="270"/>
      <c r="TMV3" s="272"/>
      <c r="TMW3" s="270"/>
      <c r="TMX3" s="272"/>
      <c r="TMY3" s="270"/>
      <c r="TMZ3" s="272"/>
      <c r="TNA3" s="270"/>
      <c r="TNB3" s="272"/>
      <c r="TNC3" s="270"/>
      <c r="TND3" s="272"/>
      <c r="TNE3" s="270"/>
      <c r="TNF3" s="272"/>
      <c r="TNG3" s="270"/>
      <c r="TNH3" s="272"/>
      <c r="TNI3" s="270"/>
      <c r="TNJ3" s="272"/>
      <c r="TNK3" s="270"/>
      <c r="TNL3" s="272"/>
      <c r="TNM3" s="270"/>
      <c r="TNN3" s="272"/>
      <c r="TNO3" s="270"/>
      <c r="TNP3" s="272"/>
      <c r="TNQ3" s="270"/>
      <c r="TNR3" s="272"/>
      <c r="TNS3" s="270"/>
      <c r="TNT3" s="272"/>
      <c r="TNU3" s="270"/>
      <c r="TNV3" s="272"/>
      <c r="TNW3" s="270"/>
      <c r="TNX3" s="272"/>
      <c r="TNY3" s="270"/>
      <c r="TNZ3" s="272"/>
      <c r="TOA3" s="270"/>
      <c r="TOB3" s="272"/>
      <c r="TOC3" s="270"/>
      <c r="TOD3" s="272"/>
      <c r="TOE3" s="270"/>
      <c r="TOF3" s="272"/>
      <c r="TOG3" s="270"/>
      <c r="TOH3" s="272"/>
      <c r="TOI3" s="270"/>
      <c r="TOJ3" s="272"/>
      <c r="TOK3" s="270"/>
      <c r="TOL3" s="272"/>
      <c r="TOM3" s="270"/>
      <c r="TON3" s="272"/>
      <c r="TOO3" s="270"/>
      <c r="TOP3" s="272"/>
      <c r="TOQ3" s="270"/>
      <c r="TOR3" s="272"/>
      <c r="TOS3" s="270"/>
      <c r="TOT3" s="272"/>
      <c r="TOU3" s="270"/>
      <c r="TOV3" s="272"/>
      <c r="TOW3" s="270"/>
      <c r="TOX3" s="272"/>
      <c r="TOY3" s="270"/>
      <c r="TOZ3" s="272"/>
      <c r="TPA3" s="270"/>
      <c r="TPB3" s="272"/>
      <c r="TPC3" s="270"/>
      <c r="TPD3" s="272"/>
      <c r="TPE3" s="270"/>
      <c r="TPF3" s="272"/>
      <c r="TPG3" s="270"/>
      <c r="TPH3" s="272"/>
      <c r="TPI3" s="270"/>
      <c r="TPJ3" s="272"/>
      <c r="TPK3" s="270"/>
      <c r="TPL3" s="272"/>
      <c r="TPM3" s="270"/>
      <c r="TPN3" s="272"/>
      <c r="TPO3" s="270"/>
      <c r="TPP3" s="272"/>
      <c r="TPQ3" s="270"/>
      <c r="TPR3" s="272"/>
      <c r="TPS3" s="270"/>
      <c r="TPT3" s="272"/>
      <c r="TPU3" s="270"/>
      <c r="TPV3" s="272"/>
      <c r="TPW3" s="270"/>
      <c r="TPX3" s="272"/>
      <c r="TPY3" s="270"/>
      <c r="TPZ3" s="272"/>
      <c r="TQA3" s="270"/>
      <c r="TQB3" s="272"/>
      <c r="TQC3" s="270"/>
      <c r="TQD3" s="272"/>
      <c r="TQE3" s="270"/>
      <c r="TQF3" s="272"/>
      <c r="TQG3" s="270"/>
      <c r="TQH3" s="272"/>
      <c r="TQI3" s="270"/>
      <c r="TQJ3" s="272"/>
      <c r="TQK3" s="270"/>
      <c r="TQL3" s="272"/>
      <c r="TQM3" s="270"/>
      <c r="TQN3" s="272"/>
      <c r="TQO3" s="270"/>
      <c r="TQP3" s="272"/>
      <c r="TQQ3" s="270"/>
      <c r="TQR3" s="272"/>
      <c r="TQS3" s="270"/>
      <c r="TQT3" s="272"/>
      <c r="TQU3" s="270"/>
      <c r="TQV3" s="272"/>
      <c r="TQW3" s="270"/>
      <c r="TQX3" s="272"/>
      <c r="TQY3" s="270"/>
      <c r="TQZ3" s="272"/>
      <c r="TRA3" s="270"/>
      <c r="TRB3" s="272"/>
      <c r="TRC3" s="270"/>
      <c r="TRD3" s="272"/>
      <c r="TRE3" s="270"/>
      <c r="TRF3" s="272"/>
      <c r="TRG3" s="270"/>
      <c r="TRH3" s="272"/>
      <c r="TRI3" s="270"/>
      <c r="TRJ3" s="272"/>
      <c r="TRK3" s="270"/>
      <c r="TRL3" s="272"/>
      <c r="TRM3" s="270"/>
      <c r="TRN3" s="272"/>
      <c r="TRO3" s="270"/>
      <c r="TRP3" s="272"/>
      <c r="TRQ3" s="270"/>
      <c r="TRR3" s="272"/>
      <c r="TRS3" s="270"/>
      <c r="TRT3" s="272"/>
      <c r="TRU3" s="270"/>
      <c r="TRV3" s="272"/>
      <c r="TRW3" s="270"/>
      <c r="TRX3" s="272"/>
      <c r="TRY3" s="270"/>
      <c r="TRZ3" s="272"/>
      <c r="TSA3" s="270"/>
      <c r="TSB3" s="272"/>
      <c r="TSC3" s="270"/>
      <c r="TSD3" s="272"/>
      <c r="TSE3" s="270"/>
      <c r="TSF3" s="272"/>
      <c r="TSG3" s="270"/>
      <c r="TSH3" s="272"/>
      <c r="TSI3" s="270"/>
      <c r="TSJ3" s="272"/>
      <c r="TSK3" s="270"/>
      <c r="TSL3" s="272"/>
      <c r="TSM3" s="270"/>
      <c r="TSN3" s="272"/>
      <c r="TSO3" s="270"/>
      <c r="TSP3" s="272"/>
      <c r="TSQ3" s="270"/>
      <c r="TSR3" s="272"/>
      <c r="TSS3" s="270"/>
      <c r="TST3" s="272"/>
      <c r="TSU3" s="270"/>
      <c r="TSV3" s="272"/>
      <c r="TSW3" s="270"/>
      <c r="TSX3" s="272"/>
      <c r="TSY3" s="270"/>
      <c r="TSZ3" s="272"/>
      <c r="TTA3" s="270"/>
      <c r="TTB3" s="272"/>
      <c r="TTC3" s="270"/>
      <c r="TTD3" s="272"/>
      <c r="TTE3" s="270"/>
      <c r="TTF3" s="272"/>
      <c r="TTG3" s="270"/>
      <c r="TTH3" s="272"/>
      <c r="TTI3" s="270"/>
      <c r="TTJ3" s="272"/>
      <c r="TTK3" s="270"/>
      <c r="TTL3" s="272"/>
      <c r="TTM3" s="270"/>
      <c r="TTN3" s="272"/>
      <c r="TTO3" s="270"/>
      <c r="TTP3" s="272"/>
      <c r="TTQ3" s="270"/>
      <c r="TTR3" s="272"/>
      <c r="TTS3" s="270"/>
      <c r="TTT3" s="272"/>
      <c r="TTU3" s="270"/>
      <c r="TTV3" s="272"/>
      <c r="TTW3" s="270"/>
      <c r="TTX3" s="272"/>
      <c r="TTY3" s="270"/>
      <c r="TTZ3" s="272"/>
      <c r="TUA3" s="270"/>
      <c r="TUB3" s="272"/>
      <c r="TUC3" s="270"/>
      <c r="TUD3" s="272"/>
      <c r="TUE3" s="270"/>
      <c r="TUF3" s="272"/>
      <c r="TUG3" s="270"/>
      <c r="TUH3" s="272"/>
      <c r="TUI3" s="270"/>
      <c r="TUJ3" s="272"/>
      <c r="TUK3" s="270"/>
      <c r="TUL3" s="272"/>
      <c r="TUM3" s="270"/>
      <c r="TUN3" s="272"/>
      <c r="TUO3" s="270"/>
      <c r="TUP3" s="272"/>
      <c r="TUQ3" s="270"/>
      <c r="TUR3" s="272"/>
      <c r="TUS3" s="270"/>
      <c r="TUT3" s="272"/>
      <c r="TUU3" s="270"/>
      <c r="TUV3" s="272"/>
      <c r="TUW3" s="270"/>
      <c r="TUX3" s="272"/>
      <c r="TUY3" s="270"/>
      <c r="TUZ3" s="272"/>
      <c r="TVA3" s="270"/>
      <c r="TVB3" s="272"/>
      <c r="TVC3" s="270"/>
      <c r="TVD3" s="272"/>
      <c r="TVE3" s="270"/>
      <c r="TVF3" s="272"/>
      <c r="TVG3" s="270"/>
      <c r="TVH3" s="272"/>
      <c r="TVI3" s="270"/>
      <c r="TVJ3" s="272"/>
      <c r="TVK3" s="270"/>
      <c r="TVL3" s="272"/>
      <c r="TVM3" s="270"/>
      <c r="TVN3" s="272"/>
      <c r="TVO3" s="270"/>
      <c r="TVP3" s="272"/>
      <c r="TVQ3" s="270"/>
      <c r="TVR3" s="272"/>
      <c r="TVS3" s="270"/>
      <c r="TVT3" s="272"/>
      <c r="TVU3" s="270"/>
      <c r="TVV3" s="272"/>
      <c r="TVW3" s="270"/>
      <c r="TVX3" s="272"/>
      <c r="TVY3" s="270"/>
      <c r="TVZ3" s="272"/>
      <c r="TWA3" s="270"/>
      <c r="TWB3" s="272"/>
      <c r="TWC3" s="270"/>
      <c r="TWD3" s="272"/>
      <c r="TWE3" s="270"/>
      <c r="TWF3" s="272"/>
      <c r="TWG3" s="270"/>
      <c r="TWH3" s="272"/>
      <c r="TWI3" s="270"/>
      <c r="TWJ3" s="272"/>
      <c r="TWK3" s="270"/>
      <c r="TWL3" s="272"/>
      <c r="TWM3" s="270"/>
      <c r="TWN3" s="272"/>
      <c r="TWO3" s="270"/>
      <c r="TWP3" s="272"/>
      <c r="TWQ3" s="270"/>
      <c r="TWR3" s="272"/>
      <c r="TWS3" s="270"/>
      <c r="TWT3" s="272"/>
      <c r="TWU3" s="270"/>
      <c r="TWV3" s="272"/>
      <c r="TWW3" s="270"/>
      <c r="TWX3" s="272"/>
      <c r="TWY3" s="270"/>
      <c r="TWZ3" s="272"/>
      <c r="TXA3" s="270"/>
      <c r="TXB3" s="272"/>
      <c r="TXC3" s="270"/>
      <c r="TXD3" s="272"/>
      <c r="TXE3" s="270"/>
      <c r="TXF3" s="272"/>
      <c r="TXG3" s="270"/>
      <c r="TXH3" s="272"/>
      <c r="TXI3" s="270"/>
      <c r="TXJ3" s="272"/>
      <c r="TXK3" s="270"/>
      <c r="TXL3" s="272"/>
      <c r="TXM3" s="270"/>
      <c r="TXN3" s="272"/>
      <c r="TXO3" s="270"/>
      <c r="TXP3" s="272"/>
      <c r="TXQ3" s="270"/>
      <c r="TXR3" s="272"/>
      <c r="TXS3" s="270"/>
      <c r="TXT3" s="272"/>
      <c r="TXU3" s="270"/>
      <c r="TXV3" s="272"/>
      <c r="TXW3" s="270"/>
      <c r="TXX3" s="272"/>
      <c r="TXY3" s="270"/>
      <c r="TXZ3" s="272"/>
      <c r="TYA3" s="270"/>
      <c r="TYB3" s="272"/>
      <c r="TYC3" s="270"/>
      <c r="TYD3" s="272"/>
      <c r="TYE3" s="270"/>
      <c r="TYF3" s="272"/>
      <c r="TYG3" s="270"/>
      <c r="TYH3" s="272"/>
      <c r="TYI3" s="270"/>
      <c r="TYJ3" s="272"/>
      <c r="TYK3" s="270"/>
      <c r="TYL3" s="272"/>
      <c r="TYM3" s="270"/>
      <c r="TYN3" s="272"/>
      <c r="TYO3" s="270"/>
      <c r="TYP3" s="272"/>
      <c r="TYQ3" s="270"/>
      <c r="TYR3" s="272"/>
      <c r="TYS3" s="270"/>
      <c r="TYT3" s="272"/>
      <c r="TYU3" s="270"/>
      <c r="TYV3" s="272"/>
      <c r="TYW3" s="270"/>
      <c r="TYX3" s="272"/>
      <c r="TYY3" s="270"/>
      <c r="TYZ3" s="272"/>
      <c r="TZA3" s="270"/>
      <c r="TZB3" s="272"/>
      <c r="TZC3" s="270"/>
      <c r="TZD3" s="272"/>
      <c r="TZE3" s="270"/>
      <c r="TZF3" s="272"/>
      <c r="TZG3" s="270"/>
      <c r="TZH3" s="272"/>
      <c r="TZI3" s="270"/>
      <c r="TZJ3" s="272"/>
      <c r="TZK3" s="270"/>
      <c r="TZL3" s="272"/>
      <c r="TZM3" s="270"/>
      <c r="TZN3" s="272"/>
      <c r="TZO3" s="270"/>
      <c r="TZP3" s="272"/>
      <c r="TZQ3" s="270"/>
      <c r="TZR3" s="272"/>
      <c r="TZS3" s="270"/>
      <c r="TZT3" s="272"/>
      <c r="TZU3" s="270"/>
      <c r="TZV3" s="272"/>
      <c r="TZW3" s="270"/>
      <c r="TZX3" s="272"/>
      <c r="TZY3" s="270"/>
      <c r="TZZ3" s="272"/>
      <c r="UAA3" s="270"/>
      <c r="UAB3" s="272"/>
      <c r="UAC3" s="270"/>
      <c r="UAD3" s="272"/>
      <c r="UAE3" s="270"/>
      <c r="UAF3" s="272"/>
      <c r="UAG3" s="270"/>
      <c r="UAH3" s="272"/>
      <c r="UAI3" s="270"/>
      <c r="UAJ3" s="272"/>
      <c r="UAK3" s="270"/>
      <c r="UAL3" s="272"/>
      <c r="UAM3" s="270"/>
      <c r="UAN3" s="272"/>
      <c r="UAO3" s="270"/>
      <c r="UAP3" s="272"/>
      <c r="UAQ3" s="270"/>
      <c r="UAR3" s="272"/>
      <c r="UAS3" s="270"/>
      <c r="UAT3" s="272"/>
      <c r="UAU3" s="270"/>
      <c r="UAV3" s="272"/>
      <c r="UAW3" s="270"/>
      <c r="UAX3" s="272"/>
      <c r="UAY3" s="270"/>
      <c r="UAZ3" s="272"/>
      <c r="UBA3" s="270"/>
      <c r="UBB3" s="272"/>
      <c r="UBC3" s="270"/>
      <c r="UBD3" s="272"/>
      <c r="UBE3" s="270"/>
      <c r="UBF3" s="272"/>
      <c r="UBG3" s="270"/>
      <c r="UBH3" s="272"/>
      <c r="UBI3" s="270"/>
      <c r="UBJ3" s="272"/>
      <c r="UBK3" s="270"/>
      <c r="UBL3" s="272"/>
      <c r="UBM3" s="270"/>
      <c r="UBN3" s="272"/>
      <c r="UBO3" s="270"/>
      <c r="UBP3" s="272"/>
      <c r="UBQ3" s="270"/>
      <c r="UBR3" s="272"/>
      <c r="UBS3" s="270"/>
      <c r="UBT3" s="272"/>
      <c r="UBU3" s="270"/>
      <c r="UBV3" s="272"/>
      <c r="UBW3" s="270"/>
      <c r="UBX3" s="272"/>
      <c r="UBY3" s="270"/>
      <c r="UBZ3" s="272"/>
      <c r="UCA3" s="270"/>
      <c r="UCB3" s="272"/>
      <c r="UCC3" s="270"/>
      <c r="UCD3" s="272"/>
      <c r="UCE3" s="270"/>
      <c r="UCF3" s="272"/>
      <c r="UCG3" s="270"/>
      <c r="UCH3" s="272"/>
      <c r="UCI3" s="270"/>
      <c r="UCJ3" s="272"/>
      <c r="UCK3" s="270"/>
      <c r="UCL3" s="272"/>
      <c r="UCM3" s="270"/>
      <c r="UCN3" s="272"/>
      <c r="UCO3" s="270"/>
      <c r="UCP3" s="272"/>
      <c r="UCQ3" s="270"/>
      <c r="UCR3" s="272"/>
      <c r="UCS3" s="270"/>
      <c r="UCT3" s="272"/>
      <c r="UCU3" s="270"/>
      <c r="UCV3" s="272"/>
      <c r="UCW3" s="270"/>
      <c r="UCX3" s="272"/>
      <c r="UCY3" s="270"/>
      <c r="UCZ3" s="272"/>
      <c r="UDA3" s="270"/>
      <c r="UDB3" s="272"/>
      <c r="UDC3" s="270"/>
      <c r="UDD3" s="272"/>
      <c r="UDE3" s="270"/>
      <c r="UDF3" s="272"/>
      <c r="UDG3" s="270"/>
      <c r="UDH3" s="272"/>
      <c r="UDI3" s="270"/>
      <c r="UDJ3" s="272"/>
      <c r="UDK3" s="270"/>
      <c r="UDL3" s="272"/>
      <c r="UDM3" s="270"/>
      <c r="UDN3" s="272"/>
      <c r="UDO3" s="270"/>
      <c r="UDP3" s="272"/>
      <c r="UDQ3" s="270"/>
      <c r="UDR3" s="272"/>
      <c r="UDS3" s="270"/>
      <c r="UDT3" s="272"/>
      <c r="UDU3" s="270"/>
      <c r="UDV3" s="272"/>
      <c r="UDW3" s="270"/>
      <c r="UDX3" s="272"/>
      <c r="UDY3" s="270"/>
      <c r="UDZ3" s="272"/>
      <c r="UEA3" s="270"/>
      <c r="UEB3" s="272"/>
      <c r="UEC3" s="270"/>
      <c r="UED3" s="272"/>
      <c r="UEE3" s="270"/>
      <c r="UEF3" s="272"/>
      <c r="UEG3" s="270"/>
      <c r="UEH3" s="272"/>
      <c r="UEI3" s="270"/>
      <c r="UEJ3" s="272"/>
      <c r="UEK3" s="270"/>
      <c r="UEL3" s="272"/>
      <c r="UEM3" s="270"/>
      <c r="UEN3" s="272"/>
      <c r="UEO3" s="270"/>
      <c r="UEP3" s="272"/>
      <c r="UEQ3" s="270"/>
      <c r="UER3" s="272"/>
      <c r="UES3" s="270"/>
      <c r="UET3" s="272"/>
      <c r="UEU3" s="270"/>
      <c r="UEV3" s="272"/>
      <c r="UEW3" s="270"/>
      <c r="UEX3" s="272"/>
      <c r="UEY3" s="270"/>
      <c r="UEZ3" s="272"/>
      <c r="UFA3" s="270"/>
      <c r="UFB3" s="272"/>
      <c r="UFC3" s="270"/>
      <c r="UFD3" s="272"/>
      <c r="UFE3" s="270"/>
      <c r="UFF3" s="272"/>
      <c r="UFG3" s="270"/>
      <c r="UFH3" s="272"/>
      <c r="UFI3" s="270"/>
      <c r="UFJ3" s="272"/>
      <c r="UFK3" s="270"/>
      <c r="UFL3" s="272"/>
      <c r="UFM3" s="270"/>
      <c r="UFN3" s="272"/>
      <c r="UFO3" s="270"/>
      <c r="UFP3" s="272"/>
      <c r="UFQ3" s="270"/>
      <c r="UFR3" s="272"/>
      <c r="UFS3" s="270"/>
      <c r="UFT3" s="272"/>
      <c r="UFU3" s="270"/>
      <c r="UFV3" s="272"/>
      <c r="UFW3" s="270"/>
      <c r="UFX3" s="272"/>
      <c r="UFY3" s="270"/>
      <c r="UFZ3" s="272"/>
      <c r="UGA3" s="270"/>
      <c r="UGB3" s="272"/>
      <c r="UGC3" s="270"/>
      <c r="UGD3" s="272"/>
      <c r="UGE3" s="270"/>
      <c r="UGF3" s="272"/>
      <c r="UGG3" s="270"/>
      <c r="UGH3" s="272"/>
      <c r="UGI3" s="270"/>
      <c r="UGJ3" s="272"/>
      <c r="UGK3" s="270"/>
      <c r="UGL3" s="272"/>
      <c r="UGM3" s="270"/>
      <c r="UGN3" s="272"/>
      <c r="UGO3" s="270"/>
      <c r="UGP3" s="272"/>
      <c r="UGQ3" s="270"/>
      <c r="UGR3" s="272"/>
      <c r="UGS3" s="270"/>
      <c r="UGT3" s="272"/>
      <c r="UGU3" s="270"/>
      <c r="UGV3" s="272"/>
      <c r="UGW3" s="270"/>
      <c r="UGX3" s="272"/>
      <c r="UGY3" s="270"/>
      <c r="UGZ3" s="272"/>
      <c r="UHA3" s="270"/>
      <c r="UHB3" s="272"/>
      <c r="UHC3" s="270"/>
      <c r="UHD3" s="272"/>
      <c r="UHE3" s="270"/>
      <c r="UHF3" s="272"/>
      <c r="UHG3" s="270"/>
      <c r="UHH3" s="272"/>
      <c r="UHI3" s="270"/>
      <c r="UHJ3" s="272"/>
      <c r="UHK3" s="270"/>
      <c r="UHL3" s="272"/>
      <c r="UHM3" s="270"/>
      <c r="UHN3" s="272"/>
      <c r="UHO3" s="270"/>
      <c r="UHP3" s="272"/>
      <c r="UHQ3" s="270"/>
      <c r="UHR3" s="272"/>
      <c r="UHS3" s="270"/>
      <c r="UHT3" s="272"/>
      <c r="UHU3" s="270"/>
      <c r="UHV3" s="272"/>
      <c r="UHW3" s="270"/>
      <c r="UHX3" s="272"/>
      <c r="UHY3" s="270"/>
      <c r="UHZ3" s="272"/>
      <c r="UIA3" s="270"/>
      <c r="UIB3" s="272"/>
      <c r="UIC3" s="270"/>
      <c r="UID3" s="272"/>
      <c r="UIE3" s="270"/>
      <c r="UIF3" s="272"/>
      <c r="UIG3" s="270"/>
      <c r="UIH3" s="272"/>
      <c r="UII3" s="270"/>
      <c r="UIJ3" s="272"/>
      <c r="UIK3" s="270"/>
      <c r="UIL3" s="272"/>
      <c r="UIM3" s="270"/>
      <c r="UIN3" s="272"/>
      <c r="UIO3" s="270"/>
      <c r="UIP3" s="272"/>
      <c r="UIQ3" s="270"/>
      <c r="UIR3" s="272"/>
      <c r="UIS3" s="270"/>
      <c r="UIT3" s="272"/>
      <c r="UIU3" s="270"/>
      <c r="UIV3" s="272"/>
      <c r="UIW3" s="270"/>
      <c r="UIX3" s="272"/>
      <c r="UIY3" s="270"/>
      <c r="UIZ3" s="272"/>
      <c r="UJA3" s="270"/>
      <c r="UJB3" s="272"/>
      <c r="UJC3" s="270"/>
      <c r="UJD3" s="272"/>
      <c r="UJE3" s="270"/>
      <c r="UJF3" s="272"/>
      <c r="UJG3" s="270"/>
      <c r="UJH3" s="272"/>
      <c r="UJI3" s="270"/>
      <c r="UJJ3" s="272"/>
      <c r="UJK3" s="270"/>
      <c r="UJL3" s="272"/>
      <c r="UJM3" s="270"/>
      <c r="UJN3" s="272"/>
      <c r="UJO3" s="270"/>
      <c r="UJP3" s="272"/>
      <c r="UJQ3" s="270"/>
      <c r="UJR3" s="272"/>
      <c r="UJS3" s="270"/>
      <c r="UJT3" s="272"/>
      <c r="UJU3" s="270"/>
      <c r="UJV3" s="272"/>
      <c r="UJW3" s="270"/>
      <c r="UJX3" s="272"/>
      <c r="UJY3" s="270"/>
      <c r="UJZ3" s="272"/>
      <c r="UKA3" s="270"/>
      <c r="UKB3" s="272"/>
      <c r="UKC3" s="270"/>
      <c r="UKD3" s="272"/>
      <c r="UKE3" s="270"/>
      <c r="UKF3" s="272"/>
      <c r="UKG3" s="270"/>
      <c r="UKH3" s="272"/>
      <c r="UKI3" s="270"/>
      <c r="UKJ3" s="272"/>
      <c r="UKK3" s="270"/>
      <c r="UKL3" s="272"/>
      <c r="UKM3" s="270"/>
      <c r="UKN3" s="272"/>
      <c r="UKO3" s="270"/>
      <c r="UKP3" s="272"/>
      <c r="UKQ3" s="270"/>
      <c r="UKR3" s="272"/>
      <c r="UKS3" s="270"/>
      <c r="UKT3" s="272"/>
      <c r="UKU3" s="270"/>
      <c r="UKV3" s="272"/>
      <c r="UKW3" s="270"/>
      <c r="UKX3" s="272"/>
      <c r="UKY3" s="270"/>
      <c r="UKZ3" s="272"/>
      <c r="ULA3" s="270"/>
      <c r="ULB3" s="272"/>
      <c r="ULC3" s="270"/>
      <c r="ULD3" s="272"/>
      <c r="ULE3" s="270"/>
      <c r="ULF3" s="272"/>
      <c r="ULG3" s="270"/>
      <c r="ULH3" s="272"/>
      <c r="ULI3" s="270"/>
      <c r="ULJ3" s="272"/>
      <c r="ULK3" s="270"/>
      <c r="ULL3" s="272"/>
      <c r="ULM3" s="270"/>
      <c r="ULN3" s="272"/>
      <c r="ULO3" s="270"/>
      <c r="ULP3" s="272"/>
      <c r="ULQ3" s="270"/>
      <c r="ULR3" s="272"/>
      <c r="ULS3" s="270"/>
      <c r="ULT3" s="272"/>
      <c r="ULU3" s="270"/>
      <c r="ULV3" s="272"/>
      <c r="ULW3" s="270"/>
      <c r="ULX3" s="272"/>
      <c r="ULY3" s="270"/>
      <c r="ULZ3" s="272"/>
      <c r="UMA3" s="270"/>
      <c r="UMB3" s="272"/>
      <c r="UMC3" s="270"/>
      <c r="UMD3" s="272"/>
      <c r="UME3" s="270"/>
      <c r="UMF3" s="272"/>
      <c r="UMG3" s="270"/>
      <c r="UMH3" s="272"/>
      <c r="UMI3" s="270"/>
      <c r="UMJ3" s="272"/>
      <c r="UMK3" s="270"/>
      <c r="UML3" s="272"/>
      <c r="UMM3" s="270"/>
      <c r="UMN3" s="272"/>
      <c r="UMO3" s="270"/>
      <c r="UMP3" s="272"/>
      <c r="UMQ3" s="270"/>
      <c r="UMR3" s="272"/>
      <c r="UMS3" s="270"/>
      <c r="UMT3" s="272"/>
      <c r="UMU3" s="270"/>
      <c r="UMV3" s="272"/>
      <c r="UMW3" s="270"/>
      <c r="UMX3" s="272"/>
      <c r="UMY3" s="270"/>
      <c r="UMZ3" s="272"/>
      <c r="UNA3" s="270"/>
      <c r="UNB3" s="272"/>
      <c r="UNC3" s="270"/>
      <c r="UND3" s="272"/>
      <c r="UNE3" s="270"/>
      <c r="UNF3" s="272"/>
      <c r="UNG3" s="270"/>
      <c r="UNH3" s="272"/>
      <c r="UNI3" s="270"/>
      <c r="UNJ3" s="272"/>
      <c r="UNK3" s="270"/>
      <c r="UNL3" s="272"/>
      <c r="UNM3" s="270"/>
      <c r="UNN3" s="272"/>
      <c r="UNO3" s="270"/>
      <c r="UNP3" s="272"/>
      <c r="UNQ3" s="270"/>
      <c r="UNR3" s="272"/>
      <c r="UNS3" s="270"/>
      <c r="UNT3" s="272"/>
      <c r="UNU3" s="270"/>
      <c r="UNV3" s="272"/>
      <c r="UNW3" s="270"/>
      <c r="UNX3" s="272"/>
      <c r="UNY3" s="270"/>
      <c r="UNZ3" s="272"/>
      <c r="UOA3" s="270"/>
      <c r="UOB3" s="272"/>
      <c r="UOC3" s="270"/>
      <c r="UOD3" s="272"/>
      <c r="UOE3" s="270"/>
      <c r="UOF3" s="272"/>
      <c r="UOG3" s="270"/>
      <c r="UOH3" s="272"/>
      <c r="UOI3" s="270"/>
      <c r="UOJ3" s="272"/>
      <c r="UOK3" s="270"/>
      <c r="UOL3" s="272"/>
      <c r="UOM3" s="270"/>
      <c r="UON3" s="272"/>
      <c r="UOO3" s="270"/>
      <c r="UOP3" s="272"/>
      <c r="UOQ3" s="270"/>
      <c r="UOR3" s="272"/>
      <c r="UOS3" s="270"/>
      <c r="UOT3" s="272"/>
      <c r="UOU3" s="270"/>
      <c r="UOV3" s="272"/>
      <c r="UOW3" s="270"/>
      <c r="UOX3" s="272"/>
      <c r="UOY3" s="270"/>
      <c r="UOZ3" s="272"/>
      <c r="UPA3" s="270"/>
      <c r="UPB3" s="272"/>
      <c r="UPC3" s="270"/>
      <c r="UPD3" s="272"/>
      <c r="UPE3" s="270"/>
      <c r="UPF3" s="272"/>
      <c r="UPG3" s="270"/>
      <c r="UPH3" s="272"/>
      <c r="UPI3" s="270"/>
      <c r="UPJ3" s="272"/>
      <c r="UPK3" s="270"/>
      <c r="UPL3" s="272"/>
      <c r="UPM3" s="270"/>
      <c r="UPN3" s="272"/>
      <c r="UPO3" s="270"/>
      <c r="UPP3" s="272"/>
      <c r="UPQ3" s="270"/>
      <c r="UPR3" s="272"/>
      <c r="UPS3" s="270"/>
      <c r="UPT3" s="272"/>
      <c r="UPU3" s="270"/>
      <c r="UPV3" s="272"/>
      <c r="UPW3" s="270"/>
      <c r="UPX3" s="272"/>
      <c r="UPY3" s="270"/>
      <c r="UPZ3" s="272"/>
      <c r="UQA3" s="270"/>
      <c r="UQB3" s="272"/>
      <c r="UQC3" s="270"/>
      <c r="UQD3" s="272"/>
      <c r="UQE3" s="270"/>
      <c r="UQF3" s="272"/>
      <c r="UQG3" s="270"/>
      <c r="UQH3" s="272"/>
      <c r="UQI3" s="270"/>
      <c r="UQJ3" s="272"/>
      <c r="UQK3" s="270"/>
      <c r="UQL3" s="272"/>
      <c r="UQM3" s="270"/>
      <c r="UQN3" s="272"/>
      <c r="UQO3" s="270"/>
      <c r="UQP3" s="272"/>
      <c r="UQQ3" s="270"/>
      <c r="UQR3" s="272"/>
      <c r="UQS3" s="270"/>
      <c r="UQT3" s="272"/>
      <c r="UQU3" s="270"/>
      <c r="UQV3" s="272"/>
      <c r="UQW3" s="270"/>
      <c r="UQX3" s="272"/>
      <c r="UQY3" s="270"/>
      <c r="UQZ3" s="272"/>
      <c r="URA3" s="270"/>
      <c r="URB3" s="272"/>
      <c r="URC3" s="270"/>
      <c r="URD3" s="272"/>
      <c r="URE3" s="270"/>
      <c r="URF3" s="272"/>
      <c r="URG3" s="270"/>
      <c r="URH3" s="272"/>
      <c r="URI3" s="270"/>
      <c r="URJ3" s="272"/>
      <c r="URK3" s="270"/>
      <c r="URL3" s="272"/>
      <c r="URM3" s="270"/>
      <c r="URN3" s="272"/>
      <c r="URO3" s="270"/>
      <c r="URP3" s="272"/>
      <c r="URQ3" s="270"/>
      <c r="URR3" s="272"/>
      <c r="URS3" s="270"/>
      <c r="URT3" s="272"/>
      <c r="URU3" s="270"/>
      <c r="URV3" s="272"/>
      <c r="URW3" s="270"/>
      <c r="URX3" s="272"/>
      <c r="URY3" s="270"/>
      <c r="URZ3" s="272"/>
      <c r="USA3" s="270"/>
      <c r="USB3" s="272"/>
      <c r="USC3" s="270"/>
      <c r="USD3" s="272"/>
      <c r="USE3" s="270"/>
      <c r="USF3" s="272"/>
      <c r="USG3" s="270"/>
      <c r="USH3" s="272"/>
      <c r="USI3" s="270"/>
      <c r="USJ3" s="272"/>
      <c r="USK3" s="270"/>
      <c r="USL3" s="272"/>
      <c r="USM3" s="270"/>
      <c r="USN3" s="272"/>
      <c r="USO3" s="270"/>
      <c r="USP3" s="272"/>
      <c r="USQ3" s="270"/>
      <c r="USR3" s="272"/>
      <c r="USS3" s="270"/>
      <c r="UST3" s="272"/>
      <c r="USU3" s="270"/>
      <c r="USV3" s="272"/>
      <c r="USW3" s="270"/>
      <c r="USX3" s="272"/>
      <c r="USY3" s="270"/>
      <c r="USZ3" s="272"/>
      <c r="UTA3" s="270"/>
      <c r="UTB3" s="272"/>
      <c r="UTC3" s="270"/>
      <c r="UTD3" s="272"/>
      <c r="UTE3" s="270"/>
      <c r="UTF3" s="272"/>
      <c r="UTG3" s="270"/>
      <c r="UTH3" s="272"/>
      <c r="UTI3" s="270"/>
      <c r="UTJ3" s="272"/>
      <c r="UTK3" s="270"/>
      <c r="UTL3" s="272"/>
      <c r="UTM3" s="270"/>
      <c r="UTN3" s="272"/>
      <c r="UTO3" s="270"/>
      <c r="UTP3" s="272"/>
      <c r="UTQ3" s="270"/>
      <c r="UTR3" s="272"/>
      <c r="UTS3" s="270"/>
      <c r="UTT3" s="272"/>
      <c r="UTU3" s="270"/>
      <c r="UTV3" s="272"/>
      <c r="UTW3" s="270"/>
      <c r="UTX3" s="272"/>
      <c r="UTY3" s="270"/>
      <c r="UTZ3" s="272"/>
      <c r="UUA3" s="270"/>
      <c r="UUB3" s="272"/>
      <c r="UUC3" s="270"/>
      <c r="UUD3" s="272"/>
      <c r="UUE3" s="270"/>
      <c r="UUF3" s="272"/>
      <c r="UUG3" s="270"/>
      <c r="UUH3" s="272"/>
      <c r="UUI3" s="270"/>
      <c r="UUJ3" s="272"/>
      <c r="UUK3" s="270"/>
      <c r="UUL3" s="272"/>
      <c r="UUM3" s="270"/>
      <c r="UUN3" s="272"/>
      <c r="UUO3" s="270"/>
      <c r="UUP3" s="272"/>
      <c r="UUQ3" s="270"/>
      <c r="UUR3" s="272"/>
      <c r="UUS3" s="270"/>
      <c r="UUT3" s="272"/>
      <c r="UUU3" s="270"/>
      <c r="UUV3" s="272"/>
      <c r="UUW3" s="270"/>
      <c r="UUX3" s="272"/>
      <c r="UUY3" s="270"/>
      <c r="UUZ3" s="272"/>
      <c r="UVA3" s="270"/>
      <c r="UVB3" s="272"/>
      <c r="UVC3" s="270"/>
      <c r="UVD3" s="272"/>
      <c r="UVE3" s="270"/>
      <c r="UVF3" s="272"/>
      <c r="UVG3" s="270"/>
      <c r="UVH3" s="272"/>
      <c r="UVI3" s="270"/>
      <c r="UVJ3" s="272"/>
      <c r="UVK3" s="270"/>
      <c r="UVL3" s="272"/>
      <c r="UVM3" s="270"/>
      <c r="UVN3" s="272"/>
      <c r="UVO3" s="270"/>
      <c r="UVP3" s="272"/>
      <c r="UVQ3" s="270"/>
      <c r="UVR3" s="272"/>
      <c r="UVS3" s="270"/>
      <c r="UVT3" s="272"/>
      <c r="UVU3" s="270"/>
      <c r="UVV3" s="272"/>
      <c r="UVW3" s="270"/>
      <c r="UVX3" s="272"/>
      <c r="UVY3" s="270"/>
      <c r="UVZ3" s="272"/>
      <c r="UWA3" s="270"/>
      <c r="UWB3" s="272"/>
      <c r="UWC3" s="270"/>
      <c r="UWD3" s="272"/>
      <c r="UWE3" s="270"/>
      <c r="UWF3" s="272"/>
      <c r="UWG3" s="270"/>
      <c r="UWH3" s="272"/>
      <c r="UWI3" s="270"/>
      <c r="UWJ3" s="272"/>
      <c r="UWK3" s="270"/>
      <c r="UWL3" s="272"/>
      <c r="UWM3" s="270"/>
      <c r="UWN3" s="272"/>
      <c r="UWO3" s="270"/>
      <c r="UWP3" s="272"/>
      <c r="UWQ3" s="270"/>
      <c r="UWR3" s="272"/>
      <c r="UWS3" s="270"/>
      <c r="UWT3" s="272"/>
      <c r="UWU3" s="270"/>
      <c r="UWV3" s="272"/>
      <c r="UWW3" s="270"/>
      <c r="UWX3" s="272"/>
      <c r="UWY3" s="270"/>
      <c r="UWZ3" s="272"/>
      <c r="UXA3" s="270"/>
      <c r="UXB3" s="272"/>
      <c r="UXC3" s="270"/>
      <c r="UXD3" s="272"/>
      <c r="UXE3" s="270"/>
      <c r="UXF3" s="272"/>
      <c r="UXG3" s="270"/>
      <c r="UXH3" s="272"/>
      <c r="UXI3" s="270"/>
      <c r="UXJ3" s="272"/>
      <c r="UXK3" s="270"/>
      <c r="UXL3" s="272"/>
      <c r="UXM3" s="270"/>
      <c r="UXN3" s="272"/>
      <c r="UXO3" s="270"/>
      <c r="UXP3" s="272"/>
      <c r="UXQ3" s="270"/>
      <c r="UXR3" s="272"/>
      <c r="UXS3" s="270"/>
      <c r="UXT3" s="272"/>
      <c r="UXU3" s="270"/>
      <c r="UXV3" s="272"/>
      <c r="UXW3" s="270"/>
      <c r="UXX3" s="272"/>
      <c r="UXY3" s="270"/>
      <c r="UXZ3" s="272"/>
      <c r="UYA3" s="270"/>
      <c r="UYB3" s="272"/>
      <c r="UYC3" s="270"/>
      <c r="UYD3" s="272"/>
      <c r="UYE3" s="270"/>
      <c r="UYF3" s="272"/>
      <c r="UYG3" s="270"/>
      <c r="UYH3" s="272"/>
      <c r="UYI3" s="270"/>
      <c r="UYJ3" s="272"/>
      <c r="UYK3" s="270"/>
      <c r="UYL3" s="272"/>
      <c r="UYM3" s="270"/>
      <c r="UYN3" s="272"/>
      <c r="UYO3" s="270"/>
      <c r="UYP3" s="272"/>
      <c r="UYQ3" s="270"/>
      <c r="UYR3" s="272"/>
      <c r="UYS3" s="270"/>
      <c r="UYT3" s="272"/>
      <c r="UYU3" s="270"/>
      <c r="UYV3" s="272"/>
      <c r="UYW3" s="270"/>
      <c r="UYX3" s="272"/>
      <c r="UYY3" s="270"/>
      <c r="UYZ3" s="272"/>
      <c r="UZA3" s="270"/>
      <c r="UZB3" s="272"/>
      <c r="UZC3" s="270"/>
      <c r="UZD3" s="272"/>
      <c r="UZE3" s="270"/>
      <c r="UZF3" s="272"/>
      <c r="UZG3" s="270"/>
      <c r="UZH3" s="272"/>
      <c r="UZI3" s="270"/>
      <c r="UZJ3" s="272"/>
      <c r="UZK3" s="270"/>
      <c r="UZL3" s="272"/>
      <c r="UZM3" s="270"/>
      <c r="UZN3" s="272"/>
      <c r="UZO3" s="270"/>
      <c r="UZP3" s="272"/>
      <c r="UZQ3" s="270"/>
      <c r="UZR3" s="272"/>
      <c r="UZS3" s="270"/>
      <c r="UZT3" s="272"/>
      <c r="UZU3" s="270"/>
      <c r="UZV3" s="272"/>
      <c r="UZW3" s="270"/>
      <c r="UZX3" s="272"/>
      <c r="UZY3" s="270"/>
      <c r="UZZ3" s="272"/>
      <c r="VAA3" s="270"/>
      <c r="VAB3" s="272"/>
      <c r="VAC3" s="270"/>
      <c r="VAD3" s="272"/>
      <c r="VAE3" s="270"/>
      <c r="VAF3" s="272"/>
      <c r="VAG3" s="270"/>
      <c r="VAH3" s="272"/>
      <c r="VAI3" s="270"/>
      <c r="VAJ3" s="272"/>
      <c r="VAK3" s="270"/>
      <c r="VAL3" s="272"/>
      <c r="VAM3" s="270"/>
      <c r="VAN3" s="272"/>
      <c r="VAO3" s="270"/>
      <c r="VAP3" s="272"/>
      <c r="VAQ3" s="270"/>
      <c r="VAR3" s="272"/>
      <c r="VAS3" s="270"/>
      <c r="VAT3" s="272"/>
      <c r="VAU3" s="270"/>
      <c r="VAV3" s="272"/>
      <c r="VAW3" s="270"/>
      <c r="VAX3" s="272"/>
      <c r="VAY3" s="270"/>
      <c r="VAZ3" s="272"/>
      <c r="VBA3" s="270"/>
      <c r="VBB3" s="272"/>
      <c r="VBC3" s="270"/>
      <c r="VBD3" s="272"/>
      <c r="VBE3" s="270"/>
      <c r="VBF3" s="272"/>
      <c r="VBG3" s="270"/>
      <c r="VBH3" s="272"/>
      <c r="VBI3" s="270"/>
      <c r="VBJ3" s="272"/>
      <c r="VBK3" s="270"/>
      <c r="VBL3" s="272"/>
      <c r="VBM3" s="270"/>
      <c r="VBN3" s="272"/>
      <c r="VBO3" s="270"/>
      <c r="VBP3" s="272"/>
      <c r="VBQ3" s="270"/>
      <c r="VBR3" s="272"/>
      <c r="VBS3" s="270"/>
      <c r="VBT3" s="272"/>
      <c r="VBU3" s="270"/>
      <c r="VBV3" s="272"/>
      <c r="VBW3" s="270"/>
      <c r="VBX3" s="272"/>
      <c r="VBY3" s="270"/>
      <c r="VBZ3" s="272"/>
      <c r="VCA3" s="270"/>
      <c r="VCB3" s="272"/>
      <c r="VCC3" s="270"/>
      <c r="VCD3" s="272"/>
      <c r="VCE3" s="270"/>
      <c r="VCF3" s="272"/>
      <c r="VCG3" s="270"/>
      <c r="VCH3" s="272"/>
      <c r="VCI3" s="270"/>
      <c r="VCJ3" s="272"/>
      <c r="VCK3" s="270"/>
      <c r="VCL3" s="272"/>
      <c r="VCM3" s="270"/>
      <c r="VCN3" s="272"/>
      <c r="VCO3" s="270"/>
      <c r="VCP3" s="272"/>
      <c r="VCQ3" s="270"/>
      <c r="VCR3" s="272"/>
      <c r="VCS3" s="270"/>
      <c r="VCT3" s="272"/>
      <c r="VCU3" s="270"/>
      <c r="VCV3" s="272"/>
      <c r="VCW3" s="270"/>
      <c r="VCX3" s="272"/>
      <c r="VCY3" s="270"/>
      <c r="VCZ3" s="272"/>
      <c r="VDA3" s="270"/>
      <c r="VDB3" s="272"/>
      <c r="VDC3" s="270"/>
      <c r="VDD3" s="272"/>
      <c r="VDE3" s="270"/>
      <c r="VDF3" s="272"/>
      <c r="VDG3" s="270"/>
      <c r="VDH3" s="272"/>
      <c r="VDI3" s="270"/>
      <c r="VDJ3" s="272"/>
      <c r="VDK3" s="270"/>
      <c r="VDL3" s="272"/>
      <c r="VDM3" s="270"/>
      <c r="VDN3" s="272"/>
      <c r="VDO3" s="270"/>
      <c r="VDP3" s="272"/>
      <c r="VDQ3" s="270"/>
      <c r="VDR3" s="272"/>
      <c r="VDS3" s="270"/>
      <c r="VDT3" s="272"/>
      <c r="VDU3" s="270"/>
      <c r="VDV3" s="272"/>
      <c r="VDW3" s="270"/>
      <c r="VDX3" s="272"/>
      <c r="VDY3" s="270"/>
      <c r="VDZ3" s="272"/>
      <c r="VEA3" s="270"/>
      <c r="VEB3" s="272"/>
      <c r="VEC3" s="270"/>
      <c r="VED3" s="272"/>
      <c r="VEE3" s="270"/>
      <c r="VEF3" s="272"/>
      <c r="VEG3" s="270"/>
      <c r="VEH3" s="272"/>
      <c r="VEI3" s="270"/>
      <c r="VEJ3" s="272"/>
      <c r="VEK3" s="270"/>
      <c r="VEL3" s="272"/>
      <c r="VEM3" s="270"/>
      <c r="VEN3" s="272"/>
      <c r="VEO3" s="270"/>
      <c r="VEP3" s="272"/>
      <c r="VEQ3" s="270"/>
      <c r="VER3" s="272"/>
      <c r="VES3" s="270"/>
      <c r="VET3" s="272"/>
      <c r="VEU3" s="270"/>
      <c r="VEV3" s="272"/>
      <c r="VEW3" s="270"/>
      <c r="VEX3" s="272"/>
      <c r="VEY3" s="270"/>
      <c r="VEZ3" s="272"/>
      <c r="VFA3" s="270"/>
      <c r="VFB3" s="272"/>
      <c r="VFC3" s="270"/>
      <c r="VFD3" s="272"/>
      <c r="VFE3" s="270"/>
      <c r="VFF3" s="272"/>
      <c r="VFG3" s="270"/>
      <c r="VFH3" s="272"/>
      <c r="VFI3" s="270"/>
      <c r="VFJ3" s="272"/>
      <c r="VFK3" s="270"/>
      <c r="VFL3" s="272"/>
      <c r="VFM3" s="270"/>
      <c r="VFN3" s="272"/>
      <c r="VFO3" s="270"/>
      <c r="VFP3" s="272"/>
      <c r="VFQ3" s="270"/>
      <c r="VFR3" s="272"/>
      <c r="VFS3" s="270"/>
      <c r="VFT3" s="272"/>
      <c r="VFU3" s="270"/>
      <c r="VFV3" s="272"/>
      <c r="VFW3" s="270"/>
      <c r="VFX3" s="272"/>
      <c r="VFY3" s="270"/>
      <c r="VFZ3" s="272"/>
      <c r="VGA3" s="270"/>
      <c r="VGB3" s="272"/>
      <c r="VGC3" s="270"/>
      <c r="VGD3" s="272"/>
      <c r="VGE3" s="270"/>
      <c r="VGF3" s="272"/>
      <c r="VGG3" s="270"/>
      <c r="VGH3" s="272"/>
      <c r="VGI3" s="270"/>
      <c r="VGJ3" s="272"/>
      <c r="VGK3" s="270"/>
      <c r="VGL3" s="272"/>
      <c r="VGM3" s="270"/>
      <c r="VGN3" s="272"/>
      <c r="VGO3" s="270"/>
      <c r="VGP3" s="272"/>
      <c r="VGQ3" s="270"/>
      <c r="VGR3" s="272"/>
      <c r="VGS3" s="270"/>
      <c r="VGT3" s="272"/>
      <c r="VGU3" s="270"/>
      <c r="VGV3" s="272"/>
      <c r="VGW3" s="270"/>
      <c r="VGX3" s="272"/>
      <c r="VGY3" s="270"/>
      <c r="VGZ3" s="272"/>
      <c r="VHA3" s="270"/>
      <c r="VHB3" s="272"/>
      <c r="VHC3" s="270"/>
      <c r="VHD3" s="272"/>
      <c r="VHE3" s="270"/>
      <c r="VHF3" s="272"/>
      <c r="VHG3" s="270"/>
      <c r="VHH3" s="272"/>
      <c r="VHI3" s="270"/>
      <c r="VHJ3" s="272"/>
      <c r="VHK3" s="270"/>
      <c r="VHL3" s="272"/>
      <c r="VHM3" s="270"/>
      <c r="VHN3" s="272"/>
      <c r="VHO3" s="270"/>
      <c r="VHP3" s="272"/>
      <c r="VHQ3" s="270"/>
      <c r="VHR3" s="272"/>
      <c r="VHS3" s="270"/>
      <c r="VHT3" s="272"/>
      <c r="VHU3" s="270"/>
      <c r="VHV3" s="272"/>
      <c r="VHW3" s="270"/>
      <c r="VHX3" s="272"/>
      <c r="VHY3" s="270"/>
      <c r="VHZ3" s="272"/>
      <c r="VIA3" s="270"/>
      <c r="VIB3" s="272"/>
      <c r="VIC3" s="270"/>
      <c r="VID3" s="272"/>
      <c r="VIE3" s="270"/>
      <c r="VIF3" s="272"/>
      <c r="VIG3" s="270"/>
      <c r="VIH3" s="272"/>
      <c r="VII3" s="270"/>
      <c r="VIJ3" s="272"/>
      <c r="VIK3" s="270"/>
      <c r="VIL3" s="272"/>
      <c r="VIM3" s="270"/>
      <c r="VIN3" s="272"/>
      <c r="VIO3" s="270"/>
      <c r="VIP3" s="272"/>
      <c r="VIQ3" s="270"/>
      <c r="VIR3" s="272"/>
      <c r="VIS3" s="270"/>
      <c r="VIT3" s="272"/>
      <c r="VIU3" s="270"/>
      <c r="VIV3" s="272"/>
      <c r="VIW3" s="270"/>
      <c r="VIX3" s="272"/>
      <c r="VIY3" s="270"/>
      <c r="VIZ3" s="272"/>
      <c r="VJA3" s="270"/>
      <c r="VJB3" s="272"/>
      <c r="VJC3" s="270"/>
      <c r="VJD3" s="272"/>
      <c r="VJE3" s="270"/>
      <c r="VJF3" s="272"/>
      <c r="VJG3" s="270"/>
      <c r="VJH3" s="272"/>
      <c r="VJI3" s="270"/>
      <c r="VJJ3" s="272"/>
      <c r="VJK3" s="270"/>
      <c r="VJL3" s="272"/>
      <c r="VJM3" s="270"/>
      <c r="VJN3" s="272"/>
      <c r="VJO3" s="270"/>
      <c r="VJP3" s="272"/>
      <c r="VJQ3" s="270"/>
      <c r="VJR3" s="272"/>
      <c r="VJS3" s="270"/>
      <c r="VJT3" s="272"/>
      <c r="VJU3" s="270"/>
      <c r="VJV3" s="272"/>
      <c r="VJW3" s="270"/>
      <c r="VJX3" s="272"/>
      <c r="VJY3" s="270"/>
      <c r="VJZ3" s="272"/>
      <c r="VKA3" s="270"/>
      <c r="VKB3" s="272"/>
      <c r="VKC3" s="270"/>
      <c r="VKD3" s="272"/>
      <c r="VKE3" s="270"/>
      <c r="VKF3" s="272"/>
      <c r="VKG3" s="270"/>
      <c r="VKH3" s="272"/>
      <c r="VKI3" s="270"/>
      <c r="VKJ3" s="272"/>
      <c r="VKK3" s="270"/>
      <c r="VKL3" s="272"/>
      <c r="VKM3" s="270"/>
      <c r="VKN3" s="272"/>
      <c r="VKO3" s="270"/>
      <c r="VKP3" s="272"/>
      <c r="VKQ3" s="270"/>
      <c r="VKR3" s="272"/>
      <c r="VKS3" s="270"/>
      <c r="VKT3" s="272"/>
      <c r="VKU3" s="270"/>
      <c r="VKV3" s="272"/>
      <c r="VKW3" s="270"/>
      <c r="VKX3" s="272"/>
      <c r="VKY3" s="270"/>
      <c r="VKZ3" s="272"/>
      <c r="VLA3" s="270"/>
      <c r="VLB3" s="272"/>
      <c r="VLC3" s="270"/>
      <c r="VLD3" s="272"/>
      <c r="VLE3" s="270"/>
      <c r="VLF3" s="272"/>
      <c r="VLG3" s="270"/>
      <c r="VLH3" s="272"/>
      <c r="VLI3" s="270"/>
      <c r="VLJ3" s="272"/>
      <c r="VLK3" s="270"/>
      <c r="VLL3" s="272"/>
      <c r="VLM3" s="270"/>
      <c r="VLN3" s="272"/>
      <c r="VLO3" s="270"/>
      <c r="VLP3" s="272"/>
      <c r="VLQ3" s="270"/>
      <c r="VLR3" s="272"/>
      <c r="VLS3" s="270"/>
      <c r="VLT3" s="272"/>
      <c r="VLU3" s="270"/>
      <c r="VLV3" s="272"/>
      <c r="VLW3" s="270"/>
      <c r="VLX3" s="272"/>
      <c r="VLY3" s="270"/>
      <c r="VLZ3" s="272"/>
      <c r="VMA3" s="270"/>
      <c r="VMB3" s="272"/>
      <c r="VMC3" s="270"/>
      <c r="VMD3" s="272"/>
      <c r="VME3" s="270"/>
      <c r="VMF3" s="272"/>
      <c r="VMG3" s="270"/>
      <c r="VMH3" s="272"/>
      <c r="VMI3" s="270"/>
      <c r="VMJ3" s="272"/>
      <c r="VMK3" s="270"/>
      <c r="VML3" s="272"/>
      <c r="VMM3" s="270"/>
      <c r="VMN3" s="272"/>
      <c r="VMO3" s="270"/>
      <c r="VMP3" s="272"/>
      <c r="VMQ3" s="270"/>
      <c r="VMR3" s="272"/>
      <c r="VMS3" s="270"/>
      <c r="VMT3" s="272"/>
      <c r="VMU3" s="270"/>
      <c r="VMV3" s="272"/>
      <c r="VMW3" s="270"/>
      <c r="VMX3" s="272"/>
      <c r="VMY3" s="270"/>
      <c r="VMZ3" s="272"/>
      <c r="VNA3" s="270"/>
      <c r="VNB3" s="272"/>
      <c r="VNC3" s="270"/>
      <c r="VND3" s="272"/>
      <c r="VNE3" s="270"/>
      <c r="VNF3" s="272"/>
      <c r="VNG3" s="270"/>
      <c r="VNH3" s="272"/>
      <c r="VNI3" s="270"/>
      <c r="VNJ3" s="272"/>
      <c r="VNK3" s="270"/>
      <c r="VNL3" s="272"/>
      <c r="VNM3" s="270"/>
      <c r="VNN3" s="272"/>
      <c r="VNO3" s="270"/>
      <c r="VNP3" s="272"/>
      <c r="VNQ3" s="270"/>
      <c r="VNR3" s="272"/>
      <c r="VNS3" s="270"/>
      <c r="VNT3" s="272"/>
      <c r="VNU3" s="270"/>
      <c r="VNV3" s="272"/>
      <c r="VNW3" s="270"/>
      <c r="VNX3" s="272"/>
      <c r="VNY3" s="270"/>
      <c r="VNZ3" s="272"/>
      <c r="VOA3" s="270"/>
      <c r="VOB3" s="272"/>
      <c r="VOC3" s="270"/>
      <c r="VOD3" s="272"/>
      <c r="VOE3" s="270"/>
      <c r="VOF3" s="272"/>
      <c r="VOG3" s="270"/>
      <c r="VOH3" s="272"/>
      <c r="VOI3" s="270"/>
      <c r="VOJ3" s="272"/>
      <c r="VOK3" s="270"/>
      <c r="VOL3" s="272"/>
      <c r="VOM3" s="270"/>
      <c r="VON3" s="272"/>
      <c r="VOO3" s="270"/>
      <c r="VOP3" s="272"/>
      <c r="VOQ3" s="270"/>
      <c r="VOR3" s="272"/>
      <c r="VOS3" s="270"/>
      <c r="VOT3" s="272"/>
      <c r="VOU3" s="270"/>
      <c r="VOV3" s="272"/>
      <c r="VOW3" s="270"/>
      <c r="VOX3" s="272"/>
      <c r="VOY3" s="270"/>
      <c r="VOZ3" s="272"/>
      <c r="VPA3" s="270"/>
      <c r="VPB3" s="272"/>
      <c r="VPC3" s="270"/>
      <c r="VPD3" s="272"/>
      <c r="VPE3" s="270"/>
      <c r="VPF3" s="272"/>
      <c r="VPG3" s="270"/>
      <c r="VPH3" s="272"/>
      <c r="VPI3" s="270"/>
      <c r="VPJ3" s="272"/>
      <c r="VPK3" s="270"/>
      <c r="VPL3" s="272"/>
      <c r="VPM3" s="270"/>
      <c r="VPN3" s="272"/>
      <c r="VPO3" s="270"/>
      <c r="VPP3" s="272"/>
      <c r="VPQ3" s="270"/>
      <c r="VPR3" s="272"/>
      <c r="VPS3" s="270"/>
      <c r="VPT3" s="272"/>
      <c r="VPU3" s="270"/>
      <c r="VPV3" s="272"/>
      <c r="VPW3" s="270"/>
      <c r="VPX3" s="272"/>
      <c r="VPY3" s="270"/>
      <c r="VPZ3" s="272"/>
      <c r="VQA3" s="270"/>
      <c r="VQB3" s="272"/>
      <c r="VQC3" s="270"/>
      <c r="VQD3" s="272"/>
      <c r="VQE3" s="270"/>
      <c r="VQF3" s="272"/>
      <c r="VQG3" s="270"/>
      <c r="VQH3" s="272"/>
      <c r="VQI3" s="270"/>
      <c r="VQJ3" s="272"/>
      <c r="VQK3" s="270"/>
      <c r="VQL3" s="272"/>
      <c r="VQM3" s="270"/>
      <c r="VQN3" s="272"/>
      <c r="VQO3" s="270"/>
      <c r="VQP3" s="272"/>
      <c r="VQQ3" s="270"/>
      <c r="VQR3" s="272"/>
      <c r="VQS3" s="270"/>
      <c r="VQT3" s="272"/>
      <c r="VQU3" s="270"/>
      <c r="VQV3" s="272"/>
      <c r="VQW3" s="270"/>
      <c r="VQX3" s="272"/>
      <c r="VQY3" s="270"/>
      <c r="VQZ3" s="272"/>
      <c r="VRA3" s="270"/>
      <c r="VRB3" s="272"/>
      <c r="VRC3" s="270"/>
      <c r="VRD3" s="272"/>
      <c r="VRE3" s="270"/>
      <c r="VRF3" s="272"/>
      <c r="VRG3" s="270"/>
      <c r="VRH3" s="272"/>
      <c r="VRI3" s="270"/>
      <c r="VRJ3" s="272"/>
      <c r="VRK3" s="270"/>
      <c r="VRL3" s="272"/>
      <c r="VRM3" s="270"/>
      <c r="VRN3" s="272"/>
      <c r="VRO3" s="270"/>
      <c r="VRP3" s="272"/>
      <c r="VRQ3" s="270"/>
      <c r="VRR3" s="272"/>
      <c r="VRS3" s="270"/>
      <c r="VRT3" s="272"/>
      <c r="VRU3" s="270"/>
      <c r="VRV3" s="272"/>
      <c r="VRW3" s="270"/>
      <c r="VRX3" s="272"/>
      <c r="VRY3" s="270"/>
      <c r="VRZ3" s="272"/>
      <c r="VSA3" s="270"/>
      <c r="VSB3" s="272"/>
      <c r="VSC3" s="270"/>
      <c r="VSD3" s="272"/>
      <c r="VSE3" s="270"/>
      <c r="VSF3" s="272"/>
      <c r="VSG3" s="270"/>
      <c r="VSH3" s="272"/>
      <c r="VSI3" s="270"/>
      <c r="VSJ3" s="272"/>
      <c r="VSK3" s="270"/>
      <c r="VSL3" s="272"/>
      <c r="VSM3" s="270"/>
      <c r="VSN3" s="272"/>
      <c r="VSO3" s="270"/>
      <c r="VSP3" s="272"/>
      <c r="VSQ3" s="270"/>
      <c r="VSR3" s="272"/>
      <c r="VSS3" s="270"/>
      <c r="VST3" s="272"/>
      <c r="VSU3" s="270"/>
      <c r="VSV3" s="272"/>
      <c r="VSW3" s="270"/>
      <c r="VSX3" s="272"/>
      <c r="VSY3" s="270"/>
      <c r="VSZ3" s="272"/>
      <c r="VTA3" s="270"/>
      <c r="VTB3" s="272"/>
      <c r="VTC3" s="270"/>
      <c r="VTD3" s="272"/>
      <c r="VTE3" s="270"/>
      <c r="VTF3" s="272"/>
      <c r="VTG3" s="270"/>
      <c r="VTH3" s="272"/>
      <c r="VTI3" s="270"/>
      <c r="VTJ3" s="272"/>
      <c r="VTK3" s="270"/>
      <c r="VTL3" s="272"/>
      <c r="VTM3" s="270"/>
      <c r="VTN3" s="272"/>
      <c r="VTO3" s="270"/>
      <c r="VTP3" s="272"/>
      <c r="VTQ3" s="270"/>
      <c r="VTR3" s="272"/>
      <c r="VTS3" s="270"/>
      <c r="VTT3" s="272"/>
      <c r="VTU3" s="270"/>
      <c r="VTV3" s="272"/>
      <c r="VTW3" s="270"/>
      <c r="VTX3" s="272"/>
      <c r="VTY3" s="270"/>
      <c r="VTZ3" s="272"/>
      <c r="VUA3" s="270"/>
      <c r="VUB3" s="272"/>
      <c r="VUC3" s="270"/>
      <c r="VUD3" s="272"/>
      <c r="VUE3" s="270"/>
      <c r="VUF3" s="272"/>
      <c r="VUG3" s="270"/>
      <c r="VUH3" s="272"/>
      <c r="VUI3" s="270"/>
      <c r="VUJ3" s="272"/>
      <c r="VUK3" s="270"/>
      <c r="VUL3" s="272"/>
      <c r="VUM3" s="270"/>
      <c r="VUN3" s="272"/>
      <c r="VUO3" s="270"/>
      <c r="VUP3" s="272"/>
      <c r="VUQ3" s="270"/>
      <c r="VUR3" s="272"/>
      <c r="VUS3" s="270"/>
      <c r="VUT3" s="272"/>
      <c r="VUU3" s="270"/>
      <c r="VUV3" s="272"/>
      <c r="VUW3" s="270"/>
      <c r="VUX3" s="272"/>
      <c r="VUY3" s="270"/>
      <c r="VUZ3" s="272"/>
      <c r="VVA3" s="270"/>
      <c r="VVB3" s="272"/>
      <c r="VVC3" s="270"/>
      <c r="VVD3" s="272"/>
      <c r="VVE3" s="270"/>
      <c r="VVF3" s="272"/>
      <c r="VVG3" s="270"/>
      <c r="VVH3" s="272"/>
      <c r="VVI3" s="270"/>
      <c r="VVJ3" s="272"/>
      <c r="VVK3" s="270"/>
      <c r="VVL3" s="272"/>
      <c r="VVM3" s="270"/>
      <c r="VVN3" s="272"/>
      <c r="VVO3" s="270"/>
      <c r="VVP3" s="272"/>
      <c r="VVQ3" s="270"/>
      <c r="VVR3" s="272"/>
      <c r="VVS3" s="270"/>
      <c r="VVT3" s="272"/>
      <c r="VVU3" s="270"/>
      <c r="VVV3" s="272"/>
      <c r="VVW3" s="270"/>
      <c r="VVX3" s="272"/>
      <c r="VVY3" s="270"/>
      <c r="VVZ3" s="272"/>
      <c r="VWA3" s="270"/>
      <c r="VWB3" s="272"/>
      <c r="VWC3" s="270"/>
      <c r="VWD3" s="272"/>
      <c r="VWE3" s="270"/>
      <c r="VWF3" s="272"/>
      <c r="VWG3" s="270"/>
      <c r="VWH3" s="272"/>
      <c r="VWI3" s="270"/>
      <c r="VWJ3" s="272"/>
      <c r="VWK3" s="270"/>
      <c r="VWL3" s="272"/>
      <c r="VWM3" s="270"/>
      <c r="VWN3" s="272"/>
      <c r="VWO3" s="270"/>
      <c r="VWP3" s="272"/>
      <c r="VWQ3" s="270"/>
      <c r="VWR3" s="272"/>
      <c r="VWS3" s="270"/>
      <c r="VWT3" s="272"/>
      <c r="VWU3" s="270"/>
      <c r="VWV3" s="272"/>
      <c r="VWW3" s="270"/>
      <c r="VWX3" s="272"/>
      <c r="VWY3" s="270"/>
      <c r="VWZ3" s="272"/>
      <c r="VXA3" s="270"/>
      <c r="VXB3" s="272"/>
      <c r="VXC3" s="270"/>
      <c r="VXD3" s="272"/>
      <c r="VXE3" s="270"/>
      <c r="VXF3" s="272"/>
      <c r="VXG3" s="270"/>
      <c r="VXH3" s="272"/>
      <c r="VXI3" s="270"/>
      <c r="VXJ3" s="272"/>
      <c r="VXK3" s="270"/>
      <c r="VXL3" s="272"/>
      <c r="VXM3" s="270"/>
      <c r="VXN3" s="272"/>
      <c r="VXO3" s="270"/>
      <c r="VXP3" s="272"/>
      <c r="VXQ3" s="270"/>
      <c r="VXR3" s="272"/>
      <c r="VXS3" s="270"/>
      <c r="VXT3" s="272"/>
      <c r="VXU3" s="270"/>
      <c r="VXV3" s="272"/>
      <c r="VXW3" s="270"/>
      <c r="VXX3" s="272"/>
      <c r="VXY3" s="270"/>
      <c r="VXZ3" s="272"/>
      <c r="VYA3" s="270"/>
      <c r="VYB3" s="272"/>
      <c r="VYC3" s="270"/>
      <c r="VYD3" s="272"/>
      <c r="VYE3" s="270"/>
      <c r="VYF3" s="272"/>
      <c r="VYG3" s="270"/>
      <c r="VYH3" s="272"/>
      <c r="VYI3" s="270"/>
      <c r="VYJ3" s="272"/>
      <c r="VYK3" s="270"/>
      <c r="VYL3" s="272"/>
      <c r="VYM3" s="270"/>
      <c r="VYN3" s="272"/>
      <c r="VYO3" s="270"/>
      <c r="VYP3" s="272"/>
      <c r="VYQ3" s="270"/>
      <c r="VYR3" s="272"/>
      <c r="VYS3" s="270"/>
      <c r="VYT3" s="272"/>
      <c r="VYU3" s="270"/>
      <c r="VYV3" s="272"/>
      <c r="VYW3" s="270"/>
      <c r="VYX3" s="272"/>
      <c r="VYY3" s="270"/>
      <c r="VYZ3" s="272"/>
      <c r="VZA3" s="270"/>
      <c r="VZB3" s="272"/>
      <c r="VZC3" s="270"/>
      <c r="VZD3" s="272"/>
      <c r="VZE3" s="270"/>
      <c r="VZF3" s="272"/>
      <c r="VZG3" s="270"/>
      <c r="VZH3" s="272"/>
      <c r="VZI3" s="270"/>
      <c r="VZJ3" s="272"/>
      <c r="VZK3" s="270"/>
      <c r="VZL3" s="272"/>
      <c r="VZM3" s="270"/>
      <c r="VZN3" s="272"/>
      <c r="VZO3" s="270"/>
      <c r="VZP3" s="272"/>
      <c r="VZQ3" s="270"/>
      <c r="VZR3" s="272"/>
      <c r="VZS3" s="270"/>
      <c r="VZT3" s="272"/>
      <c r="VZU3" s="270"/>
      <c r="VZV3" s="272"/>
      <c r="VZW3" s="270"/>
      <c r="VZX3" s="272"/>
      <c r="VZY3" s="270"/>
      <c r="VZZ3" s="272"/>
      <c r="WAA3" s="270"/>
      <c r="WAB3" s="272"/>
      <c r="WAC3" s="270"/>
      <c r="WAD3" s="272"/>
      <c r="WAE3" s="270"/>
      <c r="WAF3" s="272"/>
      <c r="WAG3" s="270"/>
      <c r="WAH3" s="272"/>
      <c r="WAI3" s="270"/>
      <c r="WAJ3" s="272"/>
      <c r="WAK3" s="270"/>
      <c r="WAL3" s="272"/>
      <c r="WAM3" s="270"/>
      <c r="WAN3" s="272"/>
      <c r="WAO3" s="270"/>
      <c r="WAP3" s="272"/>
      <c r="WAQ3" s="270"/>
      <c r="WAR3" s="272"/>
      <c r="WAS3" s="270"/>
      <c r="WAT3" s="272"/>
      <c r="WAU3" s="270"/>
      <c r="WAV3" s="272"/>
      <c r="WAW3" s="270"/>
      <c r="WAX3" s="272"/>
      <c r="WAY3" s="270"/>
      <c r="WAZ3" s="272"/>
      <c r="WBA3" s="270"/>
      <c r="WBB3" s="272"/>
      <c r="WBC3" s="270"/>
      <c r="WBD3" s="272"/>
      <c r="WBE3" s="270"/>
      <c r="WBF3" s="272"/>
      <c r="WBG3" s="270"/>
      <c r="WBH3" s="272"/>
      <c r="WBI3" s="270"/>
      <c r="WBJ3" s="272"/>
      <c r="WBK3" s="270"/>
      <c r="WBL3" s="272"/>
      <c r="WBM3" s="270"/>
      <c r="WBN3" s="272"/>
      <c r="WBO3" s="270"/>
      <c r="WBP3" s="272"/>
      <c r="WBQ3" s="270"/>
      <c r="WBR3" s="272"/>
      <c r="WBS3" s="270"/>
      <c r="WBT3" s="272"/>
      <c r="WBU3" s="270"/>
      <c r="WBV3" s="272"/>
      <c r="WBW3" s="270"/>
      <c r="WBX3" s="272"/>
      <c r="WBY3" s="270"/>
      <c r="WBZ3" s="272"/>
      <c r="WCA3" s="270"/>
      <c r="WCB3" s="272"/>
      <c r="WCC3" s="270"/>
      <c r="WCD3" s="272"/>
      <c r="WCE3" s="270"/>
      <c r="WCF3" s="272"/>
      <c r="WCG3" s="270"/>
      <c r="WCH3" s="272"/>
      <c r="WCI3" s="270"/>
      <c r="WCJ3" s="272"/>
      <c r="WCK3" s="270"/>
      <c r="WCL3" s="272"/>
      <c r="WCM3" s="270"/>
      <c r="WCN3" s="272"/>
      <c r="WCO3" s="270"/>
      <c r="WCP3" s="272"/>
      <c r="WCQ3" s="270"/>
      <c r="WCR3" s="272"/>
      <c r="WCS3" s="270"/>
      <c r="WCT3" s="272"/>
      <c r="WCU3" s="270"/>
      <c r="WCV3" s="272"/>
      <c r="WCW3" s="270"/>
      <c r="WCX3" s="272"/>
      <c r="WCY3" s="270"/>
      <c r="WCZ3" s="272"/>
      <c r="WDA3" s="270"/>
      <c r="WDB3" s="272"/>
      <c r="WDC3" s="270"/>
      <c r="WDD3" s="272"/>
      <c r="WDE3" s="270"/>
      <c r="WDF3" s="272"/>
      <c r="WDG3" s="270"/>
      <c r="WDH3" s="272"/>
      <c r="WDI3" s="270"/>
      <c r="WDJ3" s="272"/>
      <c r="WDK3" s="270"/>
      <c r="WDL3" s="272"/>
      <c r="WDM3" s="270"/>
      <c r="WDN3" s="272"/>
      <c r="WDO3" s="270"/>
      <c r="WDP3" s="272"/>
      <c r="WDQ3" s="270"/>
      <c r="WDR3" s="272"/>
      <c r="WDS3" s="270"/>
      <c r="WDT3" s="272"/>
      <c r="WDU3" s="270"/>
      <c r="WDV3" s="272"/>
      <c r="WDW3" s="270"/>
      <c r="WDX3" s="272"/>
      <c r="WDY3" s="270"/>
      <c r="WDZ3" s="272"/>
      <c r="WEA3" s="270"/>
      <c r="WEB3" s="272"/>
      <c r="WEC3" s="270"/>
      <c r="WED3" s="272"/>
      <c r="WEE3" s="270"/>
      <c r="WEF3" s="272"/>
      <c r="WEG3" s="270"/>
      <c r="WEH3" s="272"/>
      <c r="WEI3" s="270"/>
      <c r="WEJ3" s="272"/>
      <c r="WEK3" s="270"/>
      <c r="WEL3" s="272"/>
      <c r="WEM3" s="270"/>
      <c r="WEN3" s="272"/>
      <c r="WEO3" s="270"/>
      <c r="WEP3" s="272"/>
      <c r="WEQ3" s="270"/>
      <c r="WER3" s="272"/>
      <c r="WES3" s="270"/>
      <c r="WET3" s="272"/>
      <c r="WEU3" s="270"/>
      <c r="WEV3" s="272"/>
      <c r="WEW3" s="270"/>
      <c r="WEX3" s="272"/>
      <c r="WEY3" s="270"/>
      <c r="WEZ3" s="272"/>
      <c r="WFA3" s="270"/>
      <c r="WFB3" s="272"/>
      <c r="WFC3" s="270"/>
      <c r="WFD3" s="272"/>
      <c r="WFE3" s="270"/>
      <c r="WFF3" s="272"/>
      <c r="WFG3" s="270"/>
      <c r="WFH3" s="272"/>
      <c r="WFI3" s="270"/>
      <c r="WFJ3" s="272"/>
      <c r="WFK3" s="270"/>
      <c r="WFL3" s="272"/>
      <c r="WFM3" s="270"/>
      <c r="WFN3" s="272"/>
      <c r="WFO3" s="270"/>
      <c r="WFP3" s="272"/>
      <c r="WFQ3" s="270"/>
      <c r="WFR3" s="272"/>
      <c r="WFS3" s="270"/>
      <c r="WFT3" s="272"/>
      <c r="WFU3" s="270"/>
      <c r="WFV3" s="272"/>
      <c r="WFW3" s="270"/>
      <c r="WFX3" s="272"/>
      <c r="WFY3" s="270"/>
      <c r="WFZ3" s="272"/>
      <c r="WGA3" s="270"/>
      <c r="WGB3" s="272"/>
      <c r="WGC3" s="270"/>
      <c r="WGD3" s="272"/>
      <c r="WGE3" s="270"/>
      <c r="WGF3" s="272"/>
      <c r="WGG3" s="270"/>
      <c r="WGH3" s="272"/>
      <c r="WGI3" s="270"/>
      <c r="WGJ3" s="272"/>
      <c r="WGK3" s="270"/>
      <c r="WGL3" s="272"/>
      <c r="WGM3" s="270"/>
      <c r="WGN3" s="272"/>
      <c r="WGO3" s="270"/>
      <c r="WGP3" s="272"/>
      <c r="WGQ3" s="270"/>
      <c r="WGR3" s="272"/>
      <c r="WGS3" s="270"/>
      <c r="WGT3" s="272"/>
      <c r="WGU3" s="270"/>
      <c r="WGV3" s="272"/>
      <c r="WGW3" s="270"/>
      <c r="WGX3" s="272"/>
      <c r="WGY3" s="270"/>
      <c r="WGZ3" s="272"/>
      <c r="WHA3" s="270"/>
      <c r="WHB3" s="272"/>
      <c r="WHC3" s="270"/>
      <c r="WHD3" s="272"/>
      <c r="WHE3" s="270"/>
      <c r="WHF3" s="272"/>
      <c r="WHG3" s="270"/>
      <c r="WHH3" s="272"/>
      <c r="WHI3" s="270"/>
      <c r="WHJ3" s="272"/>
      <c r="WHK3" s="270"/>
      <c r="WHL3" s="272"/>
      <c r="WHM3" s="270"/>
      <c r="WHN3" s="272"/>
      <c r="WHO3" s="270"/>
      <c r="WHP3" s="272"/>
      <c r="WHQ3" s="270"/>
      <c r="WHR3" s="272"/>
      <c r="WHS3" s="270"/>
      <c r="WHT3" s="272"/>
      <c r="WHU3" s="270"/>
      <c r="WHV3" s="272"/>
      <c r="WHW3" s="270"/>
      <c r="WHX3" s="272"/>
      <c r="WHY3" s="270"/>
      <c r="WHZ3" s="272"/>
      <c r="WIA3" s="270"/>
      <c r="WIB3" s="272"/>
      <c r="WIC3" s="270"/>
      <c r="WID3" s="272"/>
      <c r="WIE3" s="270"/>
      <c r="WIF3" s="272"/>
      <c r="WIG3" s="270"/>
      <c r="WIH3" s="272"/>
      <c r="WII3" s="270"/>
      <c r="WIJ3" s="272"/>
      <c r="WIK3" s="270"/>
      <c r="WIL3" s="272"/>
      <c r="WIM3" s="270"/>
      <c r="WIN3" s="272"/>
      <c r="WIO3" s="270"/>
      <c r="WIP3" s="272"/>
      <c r="WIQ3" s="270"/>
      <c r="WIR3" s="272"/>
      <c r="WIS3" s="270"/>
      <c r="WIT3" s="272"/>
      <c r="WIU3" s="270"/>
      <c r="WIV3" s="272"/>
      <c r="WIW3" s="270"/>
      <c r="WIX3" s="272"/>
      <c r="WIY3" s="270"/>
      <c r="WIZ3" s="272"/>
      <c r="WJA3" s="270"/>
      <c r="WJB3" s="272"/>
      <c r="WJC3" s="270"/>
      <c r="WJD3" s="272"/>
      <c r="WJE3" s="270"/>
      <c r="WJF3" s="272"/>
      <c r="WJG3" s="270"/>
      <c r="WJH3" s="272"/>
      <c r="WJI3" s="270"/>
      <c r="WJJ3" s="272"/>
      <c r="WJK3" s="270"/>
      <c r="WJL3" s="272"/>
      <c r="WJM3" s="270"/>
      <c r="WJN3" s="272"/>
      <c r="WJO3" s="270"/>
      <c r="WJP3" s="272"/>
      <c r="WJQ3" s="270"/>
      <c r="WJR3" s="272"/>
      <c r="WJS3" s="270"/>
      <c r="WJT3" s="272"/>
      <c r="WJU3" s="270"/>
      <c r="WJV3" s="272"/>
      <c r="WJW3" s="270"/>
      <c r="WJX3" s="272"/>
      <c r="WJY3" s="270"/>
      <c r="WJZ3" s="272"/>
      <c r="WKA3" s="270"/>
      <c r="WKB3" s="272"/>
      <c r="WKC3" s="270"/>
      <c r="WKD3" s="272"/>
      <c r="WKE3" s="270"/>
      <c r="WKF3" s="272"/>
      <c r="WKG3" s="270"/>
      <c r="WKH3" s="272"/>
      <c r="WKI3" s="270"/>
      <c r="WKJ3" s="272"/>
      <c r="WKK3" s="270"/>
      <c r="WKL3" s="272"/>
      <c r="WKM3" s="270"/>
      <c r="WKN3" s="272"/>
      <c r="WKO3" s="270"/>
      <c r="WKP3" s="272"/>
      <c r="WKQ3" s="270"/>
      <c r="WKR3" s="272"/>
      <c r="WKS3" s="270"/>
      <c r="WKT3" s="272"/>
      <c r="WKU3" s="270"/>
      <c r="WKV3" s="272"/>
      <c r="WKW3" s="270"/>
      <c r="WKX3" s="272"/>
      <c r="WKY3" s="270"/>
      <c r="WKZ3" s="272"/>
      <c r="WLA3" s="270"/>
      <c r="WLB3" s="272"/>
      <c r="WLC3" s="270"/>
      <c r="WLD3" s="272"/>
      <c r="WLE3" s="270"/>
      <c r="WLF3" s="272"/>
      <c r="WLG3" s="270"/>
      <c r="WLH3" s="272"/>
      <c r="WLI3" s="270"/>
      <c r="WLJ3" s="272"/>
      <c r="WLK3" s="270"/>
      <c r="WLL3" s="272"/>
      <c r="WLM3" s="270"/>
      <c r="WLN3" s="272"/>
      <c r="WLO3" s="270"/>
      <c r="WLP3" s="272"/>
      <c r="WLQ3" s="270"/>
      <c r="WLR3" s="272"/>
      <c r="WLS3" s="270"/>
      <c r="WLT3" s="272"/>
      <c r="WLU3" s="270"/>
      <c r="WLV3" s="272"/>
      <c r="WLW3" s="270"/>
      <c r="WLX3" s="272"/>
      <c r="WLY3" s="270"/>
      <c r="WLZ3" s="272"/>
      <c r="WMA3" s="270"/>
      <c r="WMB3" s="272"/>
      <c r="WMC3" s="270"/>
      <c r="WMD3" s="272"/>
      <c r="WME3" s="270"/>
      <c r="WMF3" s="272"/>
      <c r="WMG3" s="270"/>
      <c r="WMH3" s="272"/>
      <c r="WMI3" s="270"/>
      <c r="WMJ3" s="272"/>
      <c r="WMK3" s="270"/>
      <c r="WML3" s="272"/>
      <c r="WMM3" s="270"/>
      <c r="WMN3" s="272"/>
      <c r="WMO3" s="270"/>
      <c r="WMP3" s="272"/>
      <c r="WMQ3" s="270"/>
      <c r="WMR3" s="272"/>
      <c r="WMS3" s="270"/>
      <c r="WMT3" s="272"/>
      <c r="WMU3" s="270"/>
      <c r="WMV3" s="272"/>
      <c r="WMW3" s="270"/>
      <c r="WMX3" s="272"/>
      <c r="WMY3" s="270"/>
      <c r="WMZ3" s="272"/>
      <c r="WNA3" s="270"/>
      <c r="WNB3" s="272"/>
      <c r="WNC3" s="270"/>
      <c r="WND3" s="272"/>
      <c r="WNE3" s="270"/>
      <c r="WNF3" s="272"/>
      <c r="WNG3" s="270"/>
      <c r="WNH3" s="272"/>
      <c r="WNI3" s="270"/>
      <c r="WNJ3" s="272"/>
      <c r="WNK3" s="270"/>
      <c r="WNL3" s="272"/>
      <c r="WNM3" s="270"/>
      <c r="WNN3" s="272"/>
      <c r="WNO3" s="270"/>
      <c r="WNP3" s="272"/>
      <c r="WNQ3" s="270"/>
      <c r="WNR3" s="272"/>
      <c r="WNS3" s="270"/>
      <c r="WNT3" s="272"/>
      <c r="WNU3" s="270"/>
      <c r="WNV3" s="272"/>
      <c r="WNW3" s="270"/>
      <c r="WNX3" s="272"/>
      <c r="WNY3" s="270"/>
      <c r="WNZ3" s="272"/>
      <c r="WOA3" s="270"/>
      <c r="WOB3" s="272"/>
      <c r="WOC3" s="270"/>
      <c r="WOD3" s="272"/>
      <c r="WOE3" s="270"/>
      <c r="WOF3" s="272"/>
      <c r="WOG3" s="270"/>
      <c r="WOH3" s="272"/>
      <c r="WOI3" s="270"/>
      <c r="WOJ3" s="272"/>
      <c r="WOK3" s="270"/>
      <c r="WOL3" s="272"/>
      <c r="WOM3" s="270"/>
      <c r="WON3" s="272"/>
      <c r="WOO3" s="270"/>
      <c r="WOP3" s="272"/>
      <c r="WOQ3" s="270"/>
      <c r="WOR3" s="272"/>
      <c r="WOS3" s="270"/>
      <c r="WOT3" s="272"/>
      <c r="WOU3" s="270"/>
      <c r="WOV3" s="272"/>
      <c r="WOW3" s="270"/>
      <c r="WOX3" s="272"/>
      <c r="WOY3" s="270"/>
      <c r="WOZ3" s="272"/>
      <c r="WPA3" s="270"/>
      <c r="WPB3" s="272"/>
      <c r="WPC3" s="270"/>
      <c r="WPD3" s="272"/>
      <c r="WPE3" s="270"/>
      <c r="WPF3" s="272"/>
      <c r="WPG3" s="270"/>
      <c r="WPH3" s="272"/>
      <c r="WPI3" s="270"/>
      <c r="WPJ3" s="272"/>
      <c r="WPK3" s="270"/>
      <c r="WPL3" s="272"/>
      <c r="WPM3" s="270"/>
      <c r="WPN3" s="272"/>
      <c r="WPO3" s="270"/>
      <c r="WPP3" s="272"/>
      <c r="WPQ3" s="270"/>
      <c r="WPR3" s="272"/>
      <c r="WPS3" s="270"/>
      <c r="WPT3" s="272"/>
      <c r="WPU3" s="270"/>
      <c r="WPV3" s="272"/>
      <c r="WPW3" s="270"/>
      <c r="WPX3" s="272"/>
      <c r="WPY3" s="270"/>
      <c r="WPZ3" s="272"/>
      <c r="WQA3" s="270"/>
      <c r="WQB3" s="272"/>
      <c r="WQC3" s="270"/>
      <c r="WQD3" s="272"/>
      <c r="WQE3" s="270"/>
      <c r="WQF3" s="272"/>
      <c r="WQG3" s="270"/>
      <c r="WQH3" s="272"/>
      <c r="WQI3" s="270"/>
      <c r="WQJ3" s="272"/>
      <c r="WQK3" s="270"/>
      <c r="WQL3" s="272"/>
      <c r="WQM3" s="270"/>
      <c r="WQN3" s="272"/>
      <c r="WQO3" s="270"/>
      <c r="WQP3" s="272"/>
      <c r="WQQ3" s="270"/>
      <c r="WQR3" s="272"/>
      <c r="WQS3" s="270"/>
      <c r="WQT3" s="272"/>
      <c r="WQU3" s="270"/>
      <c r="WQV3" s="272"/>
      <c r="WQW3" s="270"/>
      <c r="WQX3" s="272"/>
      <c r="WQY3" s="270"/>
      <c r="WQZ3" s="272"/>
      <c r="WRA3" s="270"/>
      <c r="WRB3" s="272"/>
      <c r="WRC3" s="270"/>
      <c r="WRD3" s="272"/>
      <c r="WRE3" s="270"/>
      <c r="WRF3" s="272"/>
      <c r="WRG3" s="270"/>
      <c r="WRH3" s="272"/>
      <c r="WRI3" s="270"/>
      <c r="WRJ3" s="272"/>
      <c r="WRK3" s="270"/>
      <c r="WRL3" s="272"/>
      <c r="WRM3" s="270"/>
      <c r="WRN3" s="272"/>
      <c r="WRO3" s="270"/>
      <c r="WRP3" s="272"/>
      <c r="WRQ3" s="270"/>
      <c r="WRR3" s="272"/>
      <c r="WRS3" s="270"/>
      <c r="WRT3" s="272"/>
      <c r="WRU3" s="270"/>
      <c r="WRV3" s="272"/>
      <c r="WRW3" s="270"/>
      <c r="WRX3" s="272"/>
      <c r="WRY3" s="270"/>
      <c r="WRZ3" s="272"/>
      <c r="WSA3" s="270"/>
      <c r="WSB3" s="272"/>
      <c r="WSC3" s="270"/>
      <c r="WSD3" s="272"/>
      <c r="WSE3" s="270"/>
      <c r="WSF3" s="272"/>
      <c r="WSG3" s="270"/>
      <c r="WSH3" s="272"/>
      <c r="WSI3" s="270"/>
      <c r="WSJ3" s="272"/>
      <c r="WSK3" s="270"/>
      <c r="WSL3" s="272"/>
      <c r="WSM3" s="270"/>
      <c r="WSN3" s="272"/>
      <c r="WSO3" s="270"/>
      <c r="WSP3" s="272"/>
      <c r="WSQ3" s="270"/>
      <c r="WSR3" s="272"/>
      <c r="WSS3" s="270"/>
      <c r="WST3" s="272"/>
      <c r="WSU3" s="270"/>
      <c r="WSV3" s="272"/>
      <c r="WSW3" s="270"/>
      <c r="WSX3" s="272"/>
      <c r="WSY3" s="270"/>
      <c r="WSZ3" s="272"/>
      <c r="WTA3" s="270"/>
      <c r="WTB3" s="272"/>
      <c r="WTC3" s="270"/>
      <c r="WTD3" s="272"/>
      <c r="WTE3" s="270"/>
      <c r="WTF3" s="272"/>
      <c r="WTG3" s="270"/>
      <c r="WTH3" s="272"/>
      <c r="WTI3" s="270"/>
      <c r="WTJ3" s="272"/>
      <c r="WTK3" s="270"/>
      <c r="WTL3" s="272"/>
      <c r="WTM3" s="270"/>
      <c r="WTN3" s="272"/>
      <c r="WTO3" s="270"/>
      <c r="WTP3" s="272"/>
      <c r="WTQ3" s="270"/>
      <c r="WTR3" s="272"/>
      <c r="WTS3" s="270"/>
      <c r="WTT3" s="272"/>
      <c r="WTU3" s="270"/>
      <c r="WTV3" s="272"/>
      <c r="WTW3" s="270"/>
      <c r="WTX3" s="272"/>
      <c r="WTY3" s="270"/>
      <c r="WTZ3" s="272"/>
      <c r="WUA3" s="270"/>
      <c r="WUB3" s="272"/>
      <c r="WUC3" s="270"/>
      <c r="WUD3" s="272"/>
      <c r="WUE3" s="270"/>
      <c r="WUF3" s="272"/>
      <c r="WUG3" s="270"/>
      <c r="WUH3" s="272"/>
      <c r="WUI3" s="270"/>
      <c r="WUJ3" s="272"/>
      <c r="WUK3" s="270"/>
      <c r="WUL3" s="272"/>
      <c r="WUM3" s="270"/>
      <c r="WUN3" s="272"/>
      <c r="WUO3" s="270"/>
      <c r="WUP3" s="272"/>
      <c r="WUQ3" s="270"/>
      <c r="WUR3" s="272"/>
      <c r="WUS3" s="270"/>
      <c r="WUT3" s="272"/>
      <c r="WUU3" s="270"/>
      <c r="WUV3" s="272"/>
      <c r="WUW3" s="270"/>
      <c r="WUX3" s="272"/>
      <c r="WUY3" s="270"/>
      <c r="WUZ3" s="272"/>
      <c r="WVA3" s="270"/>
      <c r="WVB3" s="272"/>
      <c r="WVC3" s="270"/>
      <c r="WVD3" s="272"/>
      <c r="WVE3" s="270"/>
      <c r="WVF3" s="272"/>
      <c r="WVG3" s="270"/>
      <c r="WVH3" s="272"/>
      <c r="WVI3" s="270"/>
      <c r="WVJ3" s="272"/>
      <c r="WVK3" s="270"/>
      <c r="WVL3" s="272"/>
      <c r="WVM3" s="270"/>
      <c r="WVN3" s="272"/>
      <c r="WVO3" s="270"/>
      <c r="WVP3" s="272"/>
      <c r="WVQ3" s="270"/>
      <c r="WVR3" s="272"/>
      <c r="WVS3" s="270"/>
      <c r="WVT3" s="272"/>
      <c r="WVU3" s="270"/>
      <c r="WVV3" s="272"/>
      <c r="WVW3" s="270"/>
      <c r="WVX3" s="272"/>
      <c r="WVY3" s="270"/>
      <c r="WVZ3" s="272"/>
      <c r="WWA3" s="270"/>
      <c r="WWB3" s="272"/>
      <c r="WWC3" s="270"/>
      <c r="WWD3" s="272"/>
      <c r="WWE3" s="270"/>
      <c r="WWF3" s="272"/>
      <c r="WWG3" s="270"/>
      <c r="WWH3" s="272"/>
      <c r="WWI3" s="270"/>
      <c r="WWJ3" s="272"/>
      <c r="WWK3" s="270"/>
      <c r="WWL3" s="272"/>
      <c r="WWM3" s="270"/>
      <c r="WWN3" s="272"/>
      <c r="WWO3" s="270"/>
      <c r="WWP3" s="272"/>
      <c r="WWQ3" s="270"/>
      <c r="WWR3" s="272"/>
      <c r="WWS3" s="270"/>
      <c r="WWT3" s="272"/>
      <c r="WWU3" s="270"/>
      <c r="WWV3" s="272"/>
      <c r="WWW3" s="270"/>
      <c r="WWX3" s="272"/>
      <c r="WWY3" s="270"/>
      <c r="WWZ3" s="272"/>
      <c r="WXA3" s="270"/>
      <c r="WXB3" s="272"/>
      <c r="WXC3" s="270"/>
      <c r="WXD3" s="272"/>
      <c r="WXE3" s="270"/>
      <c r="WXF3" s="272"/>
      <c r="WXG3" s="270"/>
      <c r="WXH3" s="272"/>
      <c r="WXI3" s="270"/>
      <c r="WXJ3" s="272"/>
      <c r="WXK3" s="270"/>
      <c r="WXL3" s="272"/>
      <c r="WXM3" s="270"/>
      <c r="WXN3" s="272"/>
      <c r="WXO3" s="270"/>
      <c r="WXP3" s="272"/>
      <c r="WXQ3" s="270"/>
      <c r="WXR3" s="272"/>
      <c r="WXS3" s="270"/>
      <c r="WXT3" s="272"/>
      <c r="WXU3" s="270"/>
      <c r="WXV3" s="272"/>
      <c r="WXW3" s="270"/>
      <c r="WXX3" s="272"/>
      <c r="WXY3" s="270"/>
      <c r="WXZ3" s="272"/>
      <c r="WYA3" s="270"/>
      <c r="WYB3" s="272"/>
      <c r="WYC3" s="270"/>
      <c r="WYD3" s="272"/>
      <c r="WYE3" s="270"/>
      <c r="WYF3" s="272"/>
      <c r="WYG3" s="270"/>
      <c r="WYH3" s="272"/>
      <c r="WYI3" s="270"/>
      <c r="WYJ3" s="272"/>
      <c r="WYK3" s="270"/>
      <c r="WYL3" s="272"/>
      <c r="WYM3" s="270"/>
      <c r="WYN3" s="272"/>
      <c r="WYO3" s="270"/>
      <c r="WYP3" s="272"/>
      <c r="WYQ3" s="270"/>
      <c r="WYR3" s="272"/>
      <c r="WYS3" s="270"/>
      <c r="WYT3" s="272"/>
      <c r="WYU3" s="270"/>
      <c r="WYV3" s="272"/>
      <c r="WYW3" s="270"/>
      <c r="WYX3" s="272"/>
      <c r="WYY3" s="270"/>
      <c r="WYZ3" s="272"/>
      <c r="WZA3" s="270"/>
      <c r="WZB3" s="272"/>
      <c r="WZC3" s="270"/>
      <c r="WZD3" s="272"/>
      <c r="WZE3" s="270"/>
      <c r="WZF3" s="272"/>
      <c r="WZG3" s="270"/>
      <c r="WZH3" s="272"/>
      <c r="WZI3" s="270"/>
      <c r="WZJ3" s="272"/>
      <c r="WZK3" s="270"/>
      <c r="WZL3" s="272"/>
      <c r="WZM3" s="270"/>
      <c r="WZN3" s="272"/>
      <c r="WZO3" s="270"/>
      <c r="WZP3" s="272"/>
      <c r="WZQ3" s="270"/>
      <c r="WZR3" s="272"/>
      <c r="WZS3" s="270"/>
      <c r="WZT3" s="272"/>
      <c r="WZU3" s="270"/>
      <c r="WZV3" s="272"/>
      <c r="WZW3" s="270"/>
      <c r="WZX3" s="272"/>
      <c r="WZY3" s="270"/>
      <c r="WZZ3" s="272"/>
      <c r="XAA3" s="270"/>
      <c r="XAB3" s="272"/>
      <c r="XAC3" s="270"/>
      <c r="XAD3" s="272"/>
      <c r="XAE3" s="270"/>
      <c r="XAF3" s="272"/>
      <c r="XAG3" s="270"/>
      <c r="XAH3" s="272"/>
      <c r="XAI3" s="270"/>
      <c r="XAJ3" s="272"/>
      <c r="XAK3" s="270"/>
      <c r="XAL3" s="272"/>
      <c r="XAM3" s="270"/>
      <c r="XAN3" s="272"/>
      <c r="XAO3" s="270"/>
      <c r="XAP3" s="272"/>
      <c r="XAQ3" s="270"/>
      <c r="XAR3" s="272"/>
      <c r="XAS3" s="270"/>
      <c r="XAT3" s="272"/>
      <c r="XAU3" s="270"/>
      <c r="XAV3" s="272"/>
      <c r="XAW3" s="270"/>
      <c r="XAX3" s="272"/>
      <c r="XAY3" s="270"/>
      <c r="XAZ3" s="272"/>
      <c r="XBA3" s="270"/>
      <c r="XBB3" s="272"/>
      <c r="XBC3" s="270"/>
      <c r="XBD3" s="272"/>
      <c r="XBE3" s="270"/>
      <c r="XBF3" s="272"/>
      <c r="XBG3" s="270"/>
      <c r="XBH3" s="272"/>
      <c r="XBI3" s="270"/>
      <c r="XBJ3" s="272"/>
      <c r="XBK3" s="270"/>
      <c r="XBL3" s="272"/>
      <c r="XBM3" s="270"/>
      <c r="XBN3" s="272"/>
      <c r="XBO3" s="270"/>
      <c r="XBP3" s="272"/>
      <c r="XBQ3" s="270"/>
      <c r="XBR3" s="272"/>
      <c r="XBS3" s="270"/>
      <c r="XBT3" s="272"/>
      <c r="XBU3" s="270"/>
      <c r="XBV3" s="272"/>
      <c r="XBW3" s="270"/>
      <c r="XBX3" s="272"/>
      <c r="XBY3" s="270"/>
      <c r="XBZ3" s="272"/>
      <c r="XCA3" s="270"/>
      <c r="XCB3" s="272"/>
      <c r="XCC3" s="270"/>
      <c r="XCD3" s="272"/>
      <c r="XCE3" s="270"/>
      <c r="XCF3" s="272"/>
      <c r="XCG3" s="270"/>
      <c r="XCH3" s="272"/>
      <c r="XCI3" s="270"/>
      <c r="XCJ3" s="272"/>
      <c r="XCK3" s="270"/>
      <c r="XCL3" s="272"/>
      <c r="XCM3" s="270"/>
      <c r="XCN3" s="272"/>
      <c r="XCO3" s="270"/>
      <c r="XCP3" s="272"/>
      <c r="XCQ3" s="270"/>
      <c r="XCR3" s="272"/>
      <c r="XCS3" s="270"/>
      <c r="XCT3" s="272"/>
      <c r="XCU3" s="270"/>
      <c r="XCV3" s="272"/>
      <c r="XCW3" s="270"/>
      <c r="XCX3" s="272"/>
      <c r="XCY3" s="270"/>
      <c r="XCZ3" s="272"/>
      <c r="XDA3" s="270"/>
      <c r="XDB3" s="272"/>
      <c r="XDC3" s="270"/>
      <c r="XDD3" s="272"/>
      <c r="XDE3" s="270"/>
      <c r="XDF3" s="272"/>
      <c r="XDG3" s="270"/>
      <c r="XDH3" s="272"/>
      <c r="XDI3" s="270"/>
      <c r="XDJ3" s="272"/>
      <c r="XDK3" s="270"/>
      <c r="XDL3" s="272"/>
      <c r="XDM3" s="270"/>
      <c r="XDN3" s="272"/>
      <c r="XDO3" s="270"/>
      <c r="XDP3" s="272"/>
      <c r="XDQ3" s="270"/>
      <c r="XDR3" s="272"/>
      <c r="XDS3" s="270"/>
      <c r="XDT3" s="272"/>
      <c r="XDU3" s="270"/>
      <c r="XDV3" s="272"/>
      <c r="XDW3" s="270"/>
      <c r="XDX3" s="272"/>
      <c r="XDY3" s="270"/>
      <c r="XDZ3" s="272"/>
      <c r="XEA3" s="270"/>
      <c r="XEB3" s="272"/>
      <c r="XEC3" s="270"/>
      <c r="XED3" s="272"/>
      <c r="XEE3" s="270"/>
      <c r="XEF3" s="272"/>
      <c r="XEG3" s="270"/>
      <c r="XEH3" s="272"/>
      <c r="XEI3" s="270"/>
      <c r="XEJ3" s="272"/>
      <c r="XEK3" s="270"/>
      <c r="XEL3" s="272"/>
      <c r="XEM3" s="270"/>
      <c r="XEN3" s="272"/>
      <c r="XEO3" s="270"/>
      <c r="XEP3" s="272"/>
      <c r="XEQ3" s="270"/>
      <c r="XER3" s="272"/>
      <c r="XES3" s="270"/>
      <c r="XET3" s="272"/>
      <c r="XEU3" s="270"/>
      <c r="XEV3" s="272"/>
      <c r="XEW3" s="270"/>
      <c r="XEX3" s="272"/>
      <c r="XEY3" s="270"/>
      <c r="XEZ3" s="272"/>
      <c r="XFA3" s="270"/>
      <c r="XFB3" s="272"/>
      <c r="XFC3" s="270"/>
      <c r="XFD3" s="272"/>
    </row>
    <row r="4" spans="1:16384">
      <c r="A4" s="256"/>
      <c r="B4" s="257">
        <v>1</v>
      </c>
      <c r="C4" s="257">
        <f>Premium!$C$8</f>
        <v>55</v>
      </c>
      <c r="D4" s="257">
        <f>IF(OR(OR(Premium!$C$9="Joint",Premium!$C$9="Individual Plus Additional Insured"),Premium!$C$9="Individual Plus Additional Insured"),'Deduction Chart'!$B$15,"")</f>
        <v>55</v>
      </c>
      <c r="E4" s="258">
        <f ca="1">Premium!$D$30*VLOOKUP(Premium!$C$25,'Premiums Rates'!$O$111:$P$114,2,0)</f>
        <v>3242.92</v>
      </c>
      <c r="F4" s="258">
        <f ca="1">IF($B4="",0,$E4)</f>
        <v>3242.92</v>
      </c>
      <c r="G4" s="258">
        <f ca="1">IF($B4="",0,MIN(VLOOKUP($C4,'Premiums Rates'!$AK$32:$AM$36,3,1)*(1+'Premiums Rates'!$AU$7)^($B4-1)+IF(OR(Premium!$C$9="Joint",Premium!$C$9="Individual Plus Additional Insured"),VLOOKUP($D4,'Premiums Rates'!$AK$32:$AM$36,3,1)*(1+'Premiums Rates'!$AU$7)^($B4-1)),F4))</f>
        <v>3060</v>
      </c>
      <c r="H4" s="258">
        <f>IF($C4="",0,IF('Premiums Rates'!$AL$6="None",0,IF('Premiums Rates'!$AL$6="C-Corp",$F4*'Premiums Rates'!$AL$5,$G4*'Premiums Rates'!$AL$5)))</f>
        <v>0</v>
      </c>
      <c r="I4" s="258">
        <f ca="1">IF($B5="","",E4-H4)</f>
        <v>3242.92</v>
      </c>
      <c r="J4" s="259">
        <f>IF($B4="","",ROUND('Premiums Rates'!$J$94*(1+Premium!$C$21)^($B4-1),2))</f>
        <v>150</v>
      </c>
      <c r="K4" s="260">
        <f>IF($C4="","",IF(AND($B4&gt;='Premiums Rates'!$AL$4,$B4&lt;='Premiums Rates'!$AL$28),$J4*365,0))</f>
        <v>0</v>
      </c>
      <c r="L4" s="260">
        <f>IF($C4="","",IF(OR(Premium!$C$9="Joint",Premium!$C$9="Individual Plus Additional Insured"),$K4,0))</f>
        <v>0</v>
      </c>
      <c r="M4" s="260">
        <f>IF($B4="","",IF(OR(Premium!$C$19="No",Premium!$C$18="Lifetime"),0,IF(AND($B4&gt;='Premiums Rates'!$AL$4+VALUE(LEFT(Premium!$C$18,1)),$B4&lt;('Premiums Rates'!$AL$4+2*VALUE(LEFT(Premium!$C$18,1))),OR(Premium!$C$9="Joint",Premium!$C$9="Individual Plus Additional Insured"),Premium!$C$19="Yes"),$J4*365,0)))</f>
        <v>0</v>
      </c>
      <c r="N4" s="260">
        <f>IF($B4="","",IF(OR(Premium!$C$9="Joint",Premium!$C$9="Individual Plus Additional Insured"),K4+L4+M4,K4+M4))</f>
        <v>0</v>
      </c>
      <c r="O4" s="260">
        <f>IF($C4="","",IF(Premium!$C$28="None",0,IF(LEFT(Premium!$C$28,4)="FROP",SUM($E$4:$E4),MAX(0,SUM($E$4:$E4)-SUM($N$4:$N4)))))</f>
        <v>0</v>
      </c>
      <c r="P4" s="260">
        <f>IF($B4="","",IF(RIGHT(Premium!$C$28,1)="S",MAX(0,0.2*SUM($E$4:$E4)-SUM($N$4:$N4)),0))</f>
        <v>0</v>
      </c>
      <c r="Q4" s="260">
        <f ca="1">IF($B4="","",N4-E4+H4)</f>
        <v>-3242.92</v>
      </c>
      <c r="S4" s="261"/>
      <c r="T4" s="261"/>
    </row>
    <row r="5" spans="1:16384">
      <c r="A5" s="256"/>
      <c r="B5" s="257">
        <f>IF($C5="","",$B4+1)</f>
        <v>2</v>
      </c>
      <c r="C5" s="257">
        <f>IF(OR(C4="",C4=(Premium!$G$8-1)),"",$C4+1)</f>
        <v>56</v>
      </c>
      <c r="D5" s="257">
        <f>IF(OR(C5="",$D4=Premium!$G$8,$D4=""),"",$D4+1)</f>
        <v>56</v>
      </c>
      <c r="E5" s="258">
        <f ca="1">IF($B5="","",IF(Premium!$C$24="Single Pay",0,IF($B5&lt;='Premiums Rates'!$AL$27,$E4+IF(Premium!$D$31="N/A",0,Premium!$D$31*VLOOKUP(Premium!$C$25,'Premiums Rates'!$O$111:$P$114,2,0)),0)))</f>
        <v>3242.92</v>
      </c>
      <c r="F5" s="258">
        <f t="shared" ref="F5:F68" ca="1" si="6">IF($B5="",0,$E5)</f>
        <v>3242.92</v>
      </c>
      <c r="G5" s="258">
        <f ca="1">IF($B5="",0,MIN(VLOOKUP($C5,'Premiums Rates'!$AK$32:$AM$36,3,1)*(1+'Premiums Rates'!$AU$7)^($B5-1)+IF(OR(Premium!$C$9="Joint",Premium!$C$9="Individual Plus Additional Insured"),VLOOKUP($D5,'Premiums Rates'!$AK$32:$AM$36,3,1)*(1+'Premiums Rates'!$AU$7)^($B5-1)),F5))</f>
        <v>3151.8</v>
      </c>
      <c r="H5" s="258">
        <f>IF($C5="",0,IF('Premiums Rates'!$AL$6="None",0,IF('Premiums Rates'!$AL$6="C-Corp",$F5*'Premiums Rates'!$AL$5,$G5*'Premiums Rates'!$AL$5)))</f>
        <v>0</v>
      </c>
      <c r="I5" s="258">
        <f t="shared" ref="I5:I68" ca="1" si="7">IF($B6="","",E5-H5)</f>
        <v>3242.92</v>
      </c>
      <c r="J5" s="259">
        <f>IF($B5="","",ROUND('Premiums Rates'!$J$94*(1+Premium!$C$21)^($B5-1),2))</f>
        <v>154.5</v>
      </c>
      <c r="K5" s="260">
        <f>IF($C5="","",IF(AND($B5&gt;='Premiums Rates'!$AL$4,$B5&lt;='Premiums Rates'!$AL$28),$J5*365,0))</f>
        <v>0</v>
      </c>
      <c r="L5" s="260">
        <f>IF($C5="","",IF(OR(Premium!$C$9="Joint",Premium!$C$9="Individual Plus Additional Insured"),$K5,0))</f>
        <v>0</v>
      </c>
      <c r="M5" s="260">
        <f>IF($B5="","",IF(OR(Premium!$C$19="No",Premium!$C$18="Lifetime"),0,IF(AND($B5&gt;='Premiums Rates'!$AL$4+VALUE(LEFT(Premium!$C$18,1)),$B5&lt;('Premiums Rates'!$AL$4+2*VALUE(LEFT(Premium!$C$18,1))),OR(Premium!$C$9="Joint",Premium!$C$9="Individual Plus Additional Insured"),Premium!$C$19="Yes"),$J5*365,0)))</f>
        <v>0</v>
      </c>
      <c r="N5" s="260">
        <f>IF($B5="","",IF(OR(Premium!$C$9="Joint",Premium!$C$9="Individual Plus Additional Insured"),K5+L5+M5,K5+M5))</f>
        <v>0</v>
      </c>
      <c r="O5" s="260">
        <f>IF($C5="","",IF(Premium!$C$28="None",0,IF(LEFT(Premium!$C$28,4)="FROP",SUM($E$4:$E5),MAX(0,SUM($E$4:$E5)-SUM($N$4:$N4)))))</f>
        <v>0</v>
      </c>
      <c r="P5" s="260">
        <f>IF($B5="","",IF(RIGHT(Premium!$C$28,1)="S",MAX(0,0.4*SUM($E$4:$E5)-SUM($N$4:$N4)),0))</f>
        <v>0</v>
      </c>
      <c r="Q5" s="260">
        <f t="shared" ref="Q5:Q68" ca="1" si="8">IF($B5="","",N5-E5+H5)</f>
        <v>-3242.92</v>
      </c>
      <c r="S5" s="261"/>
      <c r="T5" s="261"/>
    </row>
    <row r="6" spans="1:16384">
      <c r="A6" s="262"/>
      <c r="B6" s="257">
        <f t="shared" ref="B6:B69" si="9">IF($C6="","",$B5+1)</f>
        <v>3</v>
      </c>
      <c r="C6" s="257">
        <f>IF(OR(C5="",C5=(Premium!$G$8-1)),"",$C5+1)</f>
        <v>57</v>
      </c>
      <c r="D6" s="257">
        <f>IF(OR(C6="",$D5=Premium!$G$8,$D5=""),"",$D5+1)</f>
        <v>57</v>
      </c>
      <c r="E6" s="258">
        <f ca="1">IF($B6="","",IF(Premium!$C$24="Single Pay",0,IF($B6&lt;='Premiums Rates'!$AL$27,$E5+IF(Premium!$D$31="N/A",0,Premium!$D$31*VLOOKUP(Premium!$C$25,'Premiums Rates'!$O$111:$P$114,2,0)),0)))</f>
        <v>3242.92</v>
      </c>
      <c r="F6" s="258">
        <f t="shared" ca="1" si="6"/>
        <v>3242.92</v>
      </c>
      <c r="G6" s="258">
        <f ca="1">IF($B6="",0,MIN(VLOOKUP($C6,'Premiums Rates'!$AK$32:$AM$36,3,1)*(1+'Premiums Rates'!$AU$7)^($B6-1)+IF(OR(Premium!$C$9="Joint",Premium!$C$9="Individual Plus Additional Insured"),VLOOKUP($D6,'Premiums Rates'!$AK$32:$AM$36,3,1)*(1+'Premiums Rates'!$AU$7)^($B6-1)),F6))</f>
        <v>3242.92</v>
      </c>
      <c r="H6" s="258">
        <f>IF($C6="",0,IF('Premiums Rates'!$AL$6="None",0,IF('Premiums Rates'!$AL$6="C-Corp",$F6*'Premiums Rates'!$AL$5,$G6*'Premiums Rates'!$AL$5)))</f>
        <v>0</v>
      </c>
      <c r="I6" s="258">
        <f t="shared" ca="1" si="7"/>
        <v>3242.92</v>
      </c>
      <c r="J6" s="259">
        <f>IF($B6="","",ROUND('Premiums Rates'!$J$94*(1+Premium!$C$21)^($B6-1),2))</f>
        <v>159.13999999999999</v>
      </c>
      <c r="K6" s="260">
        <f>IF($C6="","",IF(AND($B6&gt;='Premiums Rates'!$AL$4,$B6&lt;='Premiums Rates'!$AL$28),$J6*365,0))</f>
        <v>0</v>
      </c>
      <c r="L6" s="260">
        <f>IF($C6="","",IF(OR(Premium!$C$9="Joint",Premium!$C$9="Individual Plus Additional Insured"),$K6,0))</f>
        <v>0</v>
      </c>
      <c r="M6" s="260">
        <f>IF($B6="","",IF(OR(Premium!$C$19="No",Premium!$C$18="Lifetime"),0,IF(AND($B6&gt;='Premiums Rates'!$AL$4+VALUE(LEFT(Premium!$C$18,1)),$B6&lt;('Premiums Rates'!$AL$4+2*VALUE(LEFT(Premium!$C$18,1))),OR(Premium!$C$9="Joint",Premium!$C$9="Individual Plus Additional Insured"),Premium!$C$19="Yes"),$J6*365,0)))</f>
        <v>0</v>
      </c>
      <c r="N6" s="260">
        <f>IF($B6="","",IF(OR(Premium!$C$9="Joint",Premium!$C$9="Individual Plus Additional Insured"),K6+L6+M6,K6+M6))</f>
        <v>0</v>
      </c>
      <c r="O6" s="260">
        <f>IF($C6="","",IF(Premium!$C$28="None",0,IF(LEFT(Premium!$C$28,4)="FROP",SUM($E$4:$E6),MAX(0,SUM($E$4:$E6)-SUM($N$4:$N5)))))</f>
        <v>0</v>
      </c>
      <c r="P6" s="260">
        <f>IF($B6="","",IF(RIGHT(Premium!$C$28,1)="S",MAX(0,0.6*SUM($E$4:$E6)-SUM($N$4:$N5)),0))</f>
        <v>0</v>
      </c>
      <c r="Q6" s="260">
        <f t="shared" ca="1" si="8"/>
        <v>-3242.92</v>
      </c>
      <c r="S6" s="261"/>
      <c r="T6" s="261"/>
    </row>
    <row r="7" spans="1:16384">
      <c r="A7" s="263"/>
      <c r="B7" s="257">
        <f t="shared" si="9"/>
        <v>4</v>
      </c>
      <c r="C7" s="257">
        <f>IF(OR(C6="",C6=(Premium!$G$8-1)),"",$C6+1)</f>
        <v>58</v>
      </c>
      <c r="D7" s="257">
        <f>IF(OR(C7="",$D6=Premium!$G$8,$D6=""),"",$D6+1)</f>
        <v>58</v>
      </c>
      <c r="E7" s="258">
        <f ca="1">IF($B7="","",IF(Premium!$C$24="Single Pay",0,IF($B7&lt;='Premiums Rates'!$AL$27,$E6+IF(Premium!$D$31="N/A",0,Premium!$D$31*VLOOKUP(Premium!$C$25,'Premiums Rates'!$O$111:$P$114,2,0)),0)))</f>
        <v>3242.92</v>
      </c>
      <c r="F7" s="258">
        <f t="shared" ca="1" si="6"/>
        <v>3242.92</v>
      </c>
      <c r="G7" s="258">
        <f ca="1">IF($B7="",0,MIN(VLOOKUP($C7,'Premiums Rates'!$AK$32:$AM$36,3,1)*(1+'Premiums Rates'!$AU$7)^($B7-1)+IF(OR(Premium!$C$9="Joint",Premium!$C$9="Individual Plus Additional Insured"),VLOOKUP($D7,'Premiums Rates'!$AK$32:$AM$36,3,1)*(1+'Premiums Rates'!$AU$7)^($B7-1)),F7))</f>
        <v>3242.92</v>
      </c>
      <c r="H7" s="258">
        <f>IF($C7="",0,IF('Premiums Rates'!$AL$6="None",0,IF('Premiums Rates'!$AL$6="C-Corp",$F7*'Premiums Rates'!$AL$5,$G7*'Premiums Rates'!$AL$5)))</f>
        <v>0</v>
      </c>
      <c r="I7" s="258">
        <f t="shared" ca="1" si="7"/>
        <v>3242.92</v>
      </c>
      <c r="J7" s="259">
        <f>IF($B7="","",ROUND('Premiums Rates'!$J$94*(1+Premium!$C$21)^($B7-1),2))</f>
        <v>163.91</v>
      </c>
      <c r="K7" s="260">
        <f>IF($C7="","",IF(AND($B7&gt;='Premiums Rates'!$AL$4,$B7&lt;='Premiums Rates'!$AL$28),$J7*365,0))</f>
        <v>0</v>
      </c>
      <c r="L7" s="260">
        <f>IF($C7="","",IF(OR(Premium!$C$9="Joint",Premium!$C$9="Individual Plus Additional Insured"),$K7,0))</f>
        <v>0</v>
      </c>
      <c r="M7" s="260">
        <f>IF($B7="","",IF(OR(Premium!$C$19="No",Premium!$C$18="Lifetime"),0,IF(AND($B7&gt;='Premiums Rates'!$AL$4+VALUE(LEFT(Premium!$C$18,1)),$B7&lt;('Premiums Rates'!$AL$4+2*VALUE(LEFT(Premium!$C$18,1))),OR(Premium!$C$9="Joint",Premium!$C$9="Individual Plus Additional Insured"),Premium!$C$19="Yes"),$J7*365,0)))</f>
        <v>0</v>
      </c>
      <c r="N7" s="260">
        <f>IF($B7="","",IF(OR(Premium!$C$9="Joint",Premium!$C$9="Individual Plus Additional Insured"),K7+L7+M7,K7+M7))</f>
        <v>0</v>
      </c>
      <c r="O7" s="260">
        <f>IF($C7="","",IF(Premium!$C$28="None",0,IF(LEFT(Premium!$C$28,4)="FROP",SUM($E$4:$E7),MAX(0,SUM($E$4:$E7)-SUM($N$4:$N6)))))</f>
        <v>0</v>
      </c>
      <c r="P7" s="260">
        <f>IF($B7="","",IF(RIGHT(Premium!$C$28,1)="S",MAX(0,0.8*SUM($E$4:$E7)-SUM($N$4:$N6)),0))</f>
        <v>0</v>
      </c>
      <c r="Q7" s="260">
        <f t="shared" ca="1" si="8"/>
        <v>-3242.92</v>
      </c>
      <c r="S7" s="261"/>
      <c r="T7" s="261"/>
    </row>
    <row r="8" spans="1:16384">
      <c r="A8" s="264"/>
      <c r="B8" s="257">
        <f t="shared" si="9"/>
        <v>5</v>
      </c>
      <c r="C8" s="257">
        <f>IF(OR(C7="",C7=(Premium!$G$8-1)),"",$C7+1)</f>
        <v>59</v>
      </c>
      <c r="D8" s="257">
        <f>IF(OR(C8="",$D7=Premium!$G$8,$D7=""),"",$D7+1)</f>
        <v>59</v>
      </c>
      <c r="E8" s="258">
        <f ca="1">IF($B8="","",IF(Premium!$C$24="Single Pay",0,IF($B8&lt;='Premiums Rates'!$AL$27,$E7+IF(Premium!$D$31="N/A",0,Premium!$D$31*VLOOKUP(Premium!$C$25,'Premiums Rates'!$O$111:$P$114,2,0)),0)))</f>
        <v>3242.92</v>
      </c>
      <c r="F8" s="258">
        <f t="shared" ca="1" si="6"/>
        <v>3242.92</v>
      </c>
      <c r="G8" s="258">
        <f ca="1">IF($B8="",0,MIN(VLOOKUP($C8,'Premiums Rates'!$AK$32:$AM$36,3,1)*(1+'Premiums Rates'!$AU$7)^($B8-1)+IF(OR(Premium!$C$9="Joint",Premium!$C$9="Individual Plus Additional Insured"),VLOOKUP($D8,'Premiums Rates'!$AK$32:$AM$36,3,1)*(1+'Premiums Rates'!$AU$7)^($B8-1)),F8))</f>
        <v>3242.92</v>
      </c>
      <c r="H8" s="258">
        <f>IF($C8="",0,IF('Premiums Rates'!$AL$6="None",0,IF('Premiums Rates'!$AL$6="C-Corp",$F8*'Premiums Rates'!$AL$5,$G8*'Premiums Rates'!$AL$5)))</f>
        <v>0</v>
      </c>
      <c r="I8" s="258">
        <f t="shared" ca="1" si="7"/>
        <v>3242.92</v>
      </c>
      <c r="J8" s="259">
        <f>IF($B8="","",ROUND('Premiums Rates'!$J$94*(1+Premium!$C$21)^($B8-1),2))</f>
        <v>168.83</v>
      </c>
      <c r="K8" s="260">
        <f>IF($C8="","",IF(AND($B8&gt;='Premiums Rates'!$AL$4,$B8&lt;='Premiums Rates'!$AL$28),$J8*365,0))</f>
        <v>0</v>
      </c>
      <c r="L8" s="260">
        <f>IF($C8="","",IF(OR(Premium!$C$9="Joint",Premium!$C$9="Individual Plus Additional Insured"),$K8,0))</f>
        <v>0</v>
      </c>
      <c r="M8" s="260">
        <f>IF($B8="","",IF(OR(Premium!$C$19="No",Premium!$C$18="Lifetime"),0,IF(AND($B8&gt;='Premiums Rates'!$AL$4+VALUE(LEFT(Premium!$C$18,1)),$B8&lt;('Premiums Rates'!$AL$4+2*VALUE(LEFT(Premium!$C$18,1))),OR(Premium!$C$9="Joint",Premium!$C$9="Individual Plus Additional Insured"),Premium!$C$19="Yes"),$J8*365,0)))</f>
        <v>0</v>
      </c>
      <c r="N8" s="260">
        <f>IF($B8="","",IF(OR(Premium!$C$9="Joint",Premium!$C$9="Individual Plus Additional Insured"),K8+L8+M8,K8+M8))</f>
        <v>0</v>
      </c>
      <c r="O8" s="260">
        <f>IF($C8="","",IF(Premium!$C$28="None",0,IF(LEFT(Premium!$C$28,4)="FROP",SUM($E$4:$E8),MAX(0,SUM($E$4:$E8)-SUM($N$4:$N7)))))</f>
        <v>0</v>
      </c>
      <c r="P8" s="260">
        <f>IF($B8="","",IF(RIGHT(Premium!$C$28,1)="S",MAX(0,0.8*SUM($E$4:$E8)-SUM($N$4:$N7)),0))</f>
        <v>0</v>
      </c>
      <c r="Q8" s="260">
        <f t="shared" ca="1" si="8"/>
        <v>-3242.92</v>
      </c>
      <c r="S8" s="261"/>
      <c r="T8" s="261"/>
    </row>
    <row r="9" spans="1:16384">
      <c r="A9" s="264"/>
      <c r="B9" s="257">
        <f t="shared" si="9"/>
        <v>6</v>
      </c>
      <c r="C9" s="257">
        <f>IF(OR(C8="",C8=(Premium!$G$8-1)),"",$C8+1)</f>
        <v>60</v>
      </c>
      <c r="D9" s="257">
        <f>IF(OR(C9="",$D8=Premium!$G$8,$D8=""),"",$D8+1)</f>
        <v>60</v>
      </c>
      <c r="E9" s="258">
        <f ca="1">IF($B9="","",IF(Premium!$C$24="Single Pay",0,IF($B9&lt;='Premiums Rates'!$AL$27,$E8+IF(Premium!$D$31="N/A",0,Premium!$D$31*VLOOKUP(Premium!$C$25,'Premiums Rates'!$O$111:$P$114,2,0)),0)))</f>
        <v>3242.92</v>
      </c>
      <c r="F9" s="258">
        <f t="shared" ca="1" si="6"/>
        <v>3242.92</v>
      </c>
      <c r="G9" s="258">
        <f ca="1">IF($B9="",0,MIN(VLOOKUP($C9,'Premiums Rates'!$AK$32:$AM$36,3,1)*(1+'Premiums Rates'!$AU$7)^($B9-1)+IF(OR(Premium!$C$9="Joint",Premium!$C$9="Individual Plus Additional Insured"),VLOOKUP($D9,'Premiums Rates'!$AK$32:$AM$36,3,1)*(1+'Premiums Rates'!$AU$7)^($B9-1)),F9))</f>
        <v>3242.92</v>
      </c>
      <c r="H9" s="258">
        <f>IF($C9="",0,IF('Premiums Rates'!$AL$6="None",0,IF('Premiums Rates'!$AL$6="C-Corp",$F9*'Premiums Rates'!$AL$5,$G9*'Premiums Rates'!$AL$5)))</f>
        <v>0</v>
      </c>
      <c r="I9" s="258">
        <f t="shared" ca="1" si="7"/>
        <v>3242.92</v>
      </c>
      <c r="J9" s="259">
        <f>IF($B9="","",ROUND('Premiums Rates'!$J$94*(1+Premium!$C$21)^($B9-1),2))</f>
        <v>173.89</v>
      </c>
      <c r="K9" s="260">
        <f>IF($C9="","",IF(AND($B9&gt;='Premiums Rates'!$AL$4,$B9&lt;='Premiums Rates'!$AL$28),$J9*365,0))</f>
        <v>0</v>
      </c>
      <c r="L9" s="260">
        <f>IF($C9="","",IF(OR(Premium!$C$9="Joint",Premium!$C$9="Individual Plus Additional Insured"),$K9,0))</f>
        <v>0</v>
      </c>
      <c r="M9" s="260">
        <f>IF($B9="","",IF(OR(Premium!$C$19="No",Premium!$C$18="Lifetime"),0,IF(AND($B9&gt;='Premiums Rates'!$AL$4+VALUE(LEFT(Premium!$C$18,1)),$B9&lt;('Premiums Rates'!$AL$4+2*VALUE(LEFT(Premium!$C$18,1))),OR(Premium!$C$9="Joint",Premium!$C$9="Individual Plus Additional Insured"),Premium!$C$19="Yes"),$J9*365,0)))</f>
        <v>0</v>
      </c>
      <c r="N9" s="260">
        <f>IF($B9="","",IF(OR(Premium!$C$9="Joint",Premium!$C$9="Individual Plus Additional Insured"),K9+L9+M9,K9+M9))</f>
        <v>0</v>
      </c>
      <c r="O9" s="260">
        <f>IF($C9="","",IF(Premium!$C$28="None",0,IF(LEFT(Premium!$C$28,4)="FROP",SUM($E$4:$E9),MAX(0,SUM($E$4:$E9)-SUM($N$4:$N8)))))</f>
        <v>0</v>
      </c>
      <c r="P9" s="260">
        <f>IF($B9="","",IF(RIGHT(Premium!$C$28,1)="S",MAX(0,0.8*SUM($E$4:$E9)-SUM($N$4:$N8)),0))</f>
        <v>0</v>
      </c>
      <c r="Q9" s="260">
        <f t="shared" ca="1" si="8"/>
        <v>-3242.92</v>
      </c>
      <c r="S9" s="261"/>
      <c r="T9" s="261"/>
    </row>
    <row r="10" spans="1:16384">
      <c r="A10" s="264"/>
      <c r="B10" s="257">
        <f t="shared" si="9"/>
        <v>7</v>
      </c>
      <c r="C10" s="257">
        <f>IF(OR(C9="",C9=(Premium!$G$8-1)),"",$C9+1)</f>
        <v>61</v>
      </c>
      <c r="D10" s="257">
        <f>IF(OR(C10="",$D9=Premium!$G$8,$D9=""),"",$D9+1)</f>
        <v>61</v>
      </c>
      <c r="E10" s="258">
        <f ca="1">IF($B10="","",IF(Premium!$C$24="Single Pay",0,IF($B10&lt;='Premiums Rates'!$AL$27,$E9+IF(Premium!$D$31="N/A",0,Premium!$D$31*VLOOKUP(Premium!$C$25,'Premiums Rates'!$O$111:$P$114,2,0)),0)))</f>
        <v>3242.92</v>
      </c>
      <c r="F10" s="258">
        <f t="shared" ca="1" si="6"/>
        <v>3242.92</v>
      </c>
      <c r="G10" s="258">
        <f ca="1">IF($B10="",0,MIN(VLOOKUP($C10,'Premiums Rates'!$AK$32:$AM$36,3,1)*(1+'Premiums Rates'!$AU$7)^($B10-1)+IF(OR(Premium!$C$9="Joint",Premium!$C$9="Individual Plus Additional Insured"),VLOOKUP($D10,'Premiums Rates'!$AK$32:$AM$36,3,1)*(1+'Premiums Rates'!$AU$7)^($B10-1)),F10))</f>
        <v>3242.92</v>
      </c>
      <c r="H10" s="258">
        <f>IF($C10="",0,IF('Premiums Rates'!$AL$6="None",0,IF('Premiums Rates'!$AL$6="C-Corp",$F10*'Premiums Rates'!$AL$5,$G10*'Premiums Rates'!$AL$5)))</f>
        <v>0</v>
      </c>
      <c r="I10" s="258">
        <f t="shared" ca="1" si="7"/>
        <v>3242.92</v>
      </c>
      <c r="J10" s="259">
        <f>IF($B10="","",ROUND('Premiums Rates'!$J$94*(1+Premium!$C$21)^($B10-1),2))</f>
        <v>179.11</v>
      </c>
      <c r="K10" s="260">
        <f>IF($C10="","",IF(AND($B10&gt;='Premiums Rates'!$AL$4,$B10&lt;='Premiums Rates'!$AL$28),$J10*365,0))</f>
        <v>0</v>
      </c>
      <c r="L10" s="260">
        <f>IF($C10="","",IF(OR(Premium!$C$9="Joint",Premium!$C$9="Individual Plus Additional Insured"),$K10,0))</f>
        <v>0</v>
      </c>
      <c r="M10" s="260">
        <f>IF($B10="","",IF(OR(Premium!$C$19="No",Premium!$C$18="Lifetime"),0,IF(AND($B10&gt;='Premiums Rates'!$AL$4+VALUE(LEFT(Premium!$C$18,1)),$B10&lt;('Premiums Rates'!$AL$4+2*VALUE(LEFT(Premium!$C$18,1))),OR(Premium!$C$9="Joint",Premium!$C$9="Individual Plus Additional Insured"),Premium!$C$19="Yes"),$J10*365,0)))</f>
        <v>0</v>
      </c>
      <c r="N10" s="260">
        <f>IF($B10="","",IF(OR(Premium!$C$9="Joint",Premium!$C$9="Individual Plus Additional Insured"),K10+L10+M10,K10+M10))</f>
        <v>0</v>
      </c>
      <c r="O10" s="260">
        <f>IF($C10="","",IF(Premium!$C$28="None",0,IF(LEFT(Premium!$C$28,4)="FROP",SUM($E$4:$E10),MAX(0,SUM($E$4:$E10)-SUM($N$4:$N9)))))</f>
        <v>0</v>
      </c>
      <c r="P10" s="260">
        <f>IF($B10="","",IF(RIGHT(Premium!$C$28,1)="S",MAX(0,0.8*SUM($E$4:$E10)-SUM($N$4:$N9)),0))</f>
        <v>0</v>
      </c>
      <c r="Q10" s="260">
        <f t="shared" ca="1" si="8"/>
        <v>-3242.92</v>
      </c>
      <c r="S10" s="261"/>
      <c r="T10" s="261"/>
    </row>
    <row r="11" spans="1:16384">
      <c r="A11" s="264"/>
      <c r="B11" s="257">
        <f t="shared" si="9"/>
        <v>8</v>
      </c>
      <c r="C11" s="257">
        <f>IF(OR(C10="",C10=(Premium!$G$8-1)),"",$C10+1)</f>
        <v>62</v>
      </c>
      <c r="D11" s="257">
        <f>IF(OR(C11="",$D10=Premium!$G$8,$D10=""),"",$D10+1)</f>
        <v>62</v>
      </c>
      <c r="E11" s="258">
        <f ca="1">IF($B11="","",IF(Premium!$C$24="Single Pay",0,IF($B11&lt;='Premiums Rates'!$AL$27,$E10+IF(Premium!$D$31="N/A",0,Premium!$D$31*VLOOKUP(Premium!$C$25,'Premiums Rates'!$O$111:$P$114,2,0)),0)))</f>
        <v>3242.92</v>
      </c>
      <c r="F11" s="258">
        <f t="shared" ca="1" si="6"/>
        <v>3242.92</v>
      </c>
      <c r="G11" s="258">
        <f ca="1">IF($B11="",0,MIN(VLOOKUP($C11,'Premiums Rates'!$AK$32:$AM$36,3,1)*(1+'Premiums Rates'!$AU$7)^($B11-1)+IF(OR(Premium!$C$9="Joint",Premium!$C$9="Individual Plus Additional Insured"),VLOOKUP($D11,'Premiums Rates'!$AK$32:$AM$36,3,1)*(1+'Premiums Rates'!$AU$7)^($B11-1)),F11))</f>
        <v>3242.92</v>
      </c>
      <c r="H11" s="258">
        <f>IF($C11="",0,IF('Premiums Rates'!$AL$6="None",0,IF('Premiums Rates'!$AL$6="C-Corp",$F11*'Premiums Rates'!$AL$5,$G11*'Premiums Rates'!$AL$5)))</f>
        <v>0</v>
      </c>
      <c r="I11" s="258">
        <f t="shared" ca="1" si="7"/>
        <v>3242.92</v>
      </c>
      <c r="J11" s="259">
        <f>IF($B11="","",ROUND('Premiums Rates'!$J$94*(1+Premium!$C$21)^($B11-1),2))</f>
        <v>184.48</v>
      </c>
      <c r="K11" s="260">
        <f>IF($C11="","",IF(AND($B11&gt;='Premiums Rates'!$AL$4,$B11&lt;='Premiums Rates'!$AL$28),$J11*365,0))</f>
        <v>0</v>
      </c>
      <c r="L11" s="260">
        <f>IF($C11="","",IF(OR(Premium!$C$9="Joint",Premium!$C$9="Individual Plus Additional Insured"),$K11,0))</f>
        <v>0</v>
      </c>
      <c r="M11" s="260">
        <f>IF($B11="","",IF(OR(Premium!$C$19="No",Premium!$C$18="Lifetime"),0,IF(AND($B11&gt;='Premiums Rates'!$AL$4+VALUE(LEFT(Premium!$C$18,1)),$B11&lt;('Premiums Rates'!$AL$4+2*VALUE(LEFT(Premium!$C$18,1))),OR(Premium!$C$9="Joint",Premium!$C$9="Individual Plus Additional Insured"),Premium!$C$19="Yes"),$J11*365,0)))</f>
        <v>0</v>
      </c>
      <c r="N11" s="260">
        <f>IF($B11="","",IF(OR(Premium!$C$9="Joint",Premium!$C$9="Individual Plus Additional Insured"),K11+L11+M11,K11+M11))</f>
        <v>0</v>
      </c>
      <c r="O11" s="260">
        <f>IF($C11="","",IF(Premium!$C$28="None",0,IF(LEFT(Premium!$C$28,4)="FROP",SUM($E$4:$E11),MAX(0,SUM($E$4:$E11)-SUM($N$4:$N10)))))</f>
        <v>0</v>
      </c>
      <c r="P11" s="260">
        <f>IF($B11="","",IF(RIGHT(Premium!$C$28,1)="S",MAX(0,0.8*SUM($E$4:$E11)-SUM($N$4:$N10)),0))</f>
        <v>0</v>
      </c>
      <c r="Q11" s="260">
        <f t="shared" ca="1" si="8"/>
        <v>-3242.92</v>
      </c>
      <c r="S11" s="261"/>
      <c r="T11" s="261"/>
    </row>
    <row r="12" spans="1:16384">
      <c r="A12" s="264"/>
      <c r="B12" s="257">
        <f t="shared" si="9"/>
        <v>9</v>
      </c>
      <c r="C12" s="257">
        <f>IF(OR(C11="",C11=(Premium!$G$8-1)),"",$C11+1)</f>
        <v>63</v>
      </c>
      <c r="D12" s="257">
        <f>IF(OR(C12="",$D11=Premium!$G$8,$D11=""),"",$D11+1)</f>
        <v>63</v>
      </c>
      <c r="E12" s="258">
        <f ca="1">IF($B12="","",IF(Premium!$C$24="Single Pay",0,IF($B12&lt;='Premiums Rates'!$AL$27,$E11+IF(Premium!$D$31="N/A",0,Premium!$D$31*VLOOKUP(Premium!$C$25,'Premiums Rates'!$O$111:$P$114,2,0)),0)))</f>
        <v>3242.92</v>
      </c>
      <c r="F12" s="258">
        <f t="shared" ca="1" si="6"/>
        <v>3242.92</v>
      </c>
      <c r="G12" s="258">
        <f ca="1">IF($B12="",0,MIN(VLOOKUP($C12,'Premiums Rates'!$AK$32:$AM$36,3,1)*(1+'Premiums Rates'!$AU$7)^($B12-1)+IF(OR(Premium!$C$9="Joint",Premium!$C$9="Individual Plus Additional Insured"),VLOOKUP($D12,'Premiums Rates'!$AK$32:$AM$36,3,1)*(1+'Premiums Rates'!$AU$7)^($B12-1)),F12))</f>
        <v>3242.92</v>
      </c>
      <c r="H12" s="258">
        <f>IF($C12="",0,IF('Premiums Rates'!$AL$6="None",0,IF('Premiums Rates'!$AL$6="C-Corp",$F12*'Premiums Rates'!$AL$5,$G12*'Premiums Rates'!$AL$5)))</f>
        <v>0</v>
      </c>
      <c r="I12" s="258">
        <f t="shared" ca="1" si="7"/>
        <v>3242.92</v>
      </c>
      <c r="J12" s="259">
        <f>IF($B12="","",ROUND('Premiums Rates'!$J$94*(1+Premium!$C$21)^($B12-1),2))</f>
        <v>190.02</v>
      </c>
      <c r="K12" s="260">
        <f>IF($C12="","",IF(AND($B12&gt;='Premiums Rates'!$AL$4,$B12&lt;='Premiums Rates'!$AL$28),$J12*365,0))</f>
        <v>0</v>
      </c>
      <c r="L12" s="260">
        <f>IF($C12="","",IF(OR(Premium!$C$9="Joint",Premium!$C$9="Individual Plus Additional Insured"),$K12,0))</f>
        <v>0</v>
      </c>
      <c r="M12" s="260">
        <f>IF($B12="","",IF(OR(Premium!$C$19="No",Premium!$C$18="Lifetime"),0,IF(AND($B12&gt;='Premiums Rates'!$AL$4+VALUE(LEFT(Premium!$C$18,1)),$B12&lt;('Premiums Rates'!$AL$4+2*VALUE(LEFT(Premium!$C$18,1))),OR(Premium!$C$9="Joint",Premium!$C$9="Individual Plus Additional Insured"),Premium!$C$19="Yes"),$J12*365,0)))</f>
        <v>0</v>
      </c>
      <c r="N12" s="260">
        <f>IF($B12="","",IF(OR(Premium!$C$9="Joint",Premium!$C$9="Individual Plus Additional Insured"),K12+L12+M12,K12+M12))</f>
        <v>0</v>
      </c>
      <c r="O12" s="260">
        <f>IF($C12="","",IF(Premium!$C$28="None",0,IF(LEFT(Premium!$C$28,4)="FROP",SUM($E$4:$E12),MAX(0,SUM($E$4:$E12)-SUM($N$4:$N11)))))</f>
        <v>0</v>
      </c>
      <c r="P12" s="260">
        <f>IF($B12="","",IF(RIGHT(Premium!$C$28,1)="S",MAX(0,0.8*SUM($E$4:$E12)-SUM($N$4:$N11)),0))</f>
        <v>0</v>
      </c>
      <c r="Q12" s="260">
        <f t="shared" ca="1" si="8"/>
        <v>-3242.92</v>
      </c>
      <c r="S12" s="261"/>
      <c r="T12" s="261"/>
    </row>
    <row r="13" spans="1:16384">
      <c r="A13" s="264"/>
      <c r="B13" s="257">
        <f t="shared" si="9"/>
        <v>10</v>
      </c>
      <c r="C13" s="257">
        <f>IF(OR(C12="",C12=(Premium!$G$8-1)),"",$C12+1)</f>
        <v>64</v>
      </c>
      <c r="D13" s="257">
        <f>IF(OR(C13="",$D12=Premium!$G$8,$D12=""),"",$D12+1)</f>
        <v>64</v>
      </c>
      <c r="E13" s="258">
        <f ca="1">IF($B13="","",IF(Premium!$C$24="Single Pay",0,IF($B13&lt;='Premiums Rates'!$AL$27,$E12+IF(Premium!$D$31="N/A",0,Premium!$D$31*VLOOKUP(Premium!$C$25,'Premiums Rates'!$O$111:$P$114,2,0)),0)))</f>
        <v>3242.92</v>
      </c>
      <c r="F13" s="258">
        <f t="shared" ca="1" si="6"/>
        <v>3242.92</v>
      </c>
      <c r="G13" s="258">
        <f ca="1">IF($B13="",0,MIN(VLOOKUP($C13,'Premiums Rates'!$AK$32:$AM$36,3,1)*(1+'Premiums Rates'!$AU$7)^($B13-1)+IF(OR(Premium!$C$9="Joint",Premium!$C$9="Individual Plus Additional Insured"),VLOOKUP($D13,'Premiums Rates'!$AK$32:$AM$36,3,1)*(1+'Premiums Rates'!$AU$7)^($B13-1)),F13))</f>
        <v>3242.92</v>
      </c>
      <c r="H13" s="258">
        <f>IF($C13="",0,IF('Premiums Rates'!$AL$6="None",0,IF('Premiums Rates'!$AL$6="C-Corp",$F13*'Premiums Rates'!$AL$5,$G13*'Premiums Rates'!$AL$5)))</f>
        <v>0</v>
      </c>
      <c r="I13" s="258">
        <f t="shared" ca="1" si="7"/>
        <v>3242.92</v>
      </c>
      <c r="J13" s="259">
        <f>IF($B13="","",ROUND('Premiums Rates'!$J$94*(1+Premium!$C$21)^($B13-1),2))</f>
        <v>195.72</v>
      </c>
      <c r="K13" s="260">
        <f>IF($C13="","",IF(AND($B13&gt;='Premiums Rates'!$AL$4,$B13&lt;='Premiums Rates'!$AL$28),$J13*365,0))</f>
        <v>0</v>
      </c>
      <c r="L13" s="260">
        <f>IF($C13="","",IF(OR(Premium!$C$9="Joint",Premium!$C$9="Individual Plus Additional Insured"),$K13,0))</f>
        <v>0</v>
      </c>
      <c r="M13" s="260">
        <f>IF($B13="","",IF(OR(Premium!$C$19="No",Premium!$C$18="Lifetime"),0,IF(AND($B13&gt;='Premiums Rates'!$AL$4+VALUE(LEFT(Premium!$C$18,1)),$B13&lt;('Premiums Rates'!$AL$4+2*VALUE(LEFT(Premium!$C$18,1))),OR(Premium!$C$9="Joint",Premium!$C$9="Individual Plus Additional Insured"),Premium!$C$19="Yes"),$J13*365,0)))</f>
        <v>0</v>
      </c>
      <c r="N13" s="260">
        <f>IF($B13="","",IF(OR(Premium!$C$9="Joint",Premium!$C$9="Individual Plus Additional Insured"),K13+L13+M13,K13+M13))</f>
        <v>0</v>
      </c>
      <c r="O13" s="260">
        <f>IF($C13="","",IF(Premium!$C$28="None",0,IF(LEFT(Premium!$C$28,4)="FROP",SUM($E$4:$E13),MAX(0,SUM($E$4:$E13)-SUM($N$4:$N12)))))</f>
        <v>0</v>
      </c>
      <c r="P13" s="260">
        <f>IF($B13="","",IF(RIGHT(Premium!$C$28,1)="S",MAX(0,0.8*SUM($E$4:$E13)-SUM($N$4:$N12)),0))</f>
        <v>0</v>
      </c>
      <c r="Q13" s="260">
        <f t="shared" ca="1" si="8"/>
        <v>-3242.92</v>
      </c>
      <c r="S13" s="261"/>
      <c r="T13" s="261"/>
    </row>
    <row r="14" spans="1:16384">
      <c r="A14" s="264"/>
      <c r="B14" s="257">
        <f t="shared" si="9"/>
        <v>11</v>
      </c>
      <c r="C14" s="257">
        <f>IF(OR(C13="",C13=(Premium!$G$8-1)),"",$C13+1)</f>
        <v>65</v>
      </c>
      <c r="D14" s="257">
        <f>IF(OR(C14="",$D13=Premium!$G$8,$D13=""),"",$D13+1)</f>
        <v>65</v>
      </c>
      <c r="E14" s="258">
        <f ca="1">IF($B14="","",IF(Premium!$C$24&lt;&gt;"Lifetime Pay",0,IF($B14&lt;='Premiums Rates'!$AL$27,$E13+IF(Premium!$D$31="N/A",0,Premium!$D$31*VLOOKUP(Premium!$C$25,'Premiums Rates'!$O$111:$P$114,2,0)),0)))</f>
        <v>3242.92</v>
      </c>
      <c r="F14" s="258">
        <f t="shared" ca="1" si="6"/>
        <v>3242.92</v>
      </c>
      <c r="G14" s="258">
        <f ca="1">IF($B14="",0,MIN(VLOOKUP($C14,'Premiums Rates'!$AK$32:$AM$36,3,1)*(1+'Premiums Rates'!$AU$7)^($B14-1)+IF(OR(Premium!$C$9="Joint",Premium!$C$9="Individual Plus Additional Insured"),VLOOKUP($D14,'Premiums Rates'!$AK$32:$AM$36,3,1)*(1+'Premiums Rates'!$AU$7)^($B14-1)),F14))</f>
        <v>3242.92</v>
      </c>
      <c r="H14" s="258">
        <f>IF($C14="",0,IF('Premiums Rates'!$AL$6="None",0,IF('Premiums Rates'!$AL$6="C-Corp",$F14*'Premiums Rates'!$AL$5,$G14*'Premiums Rates'!$AL$5)))</f>
        <v>0</v>
      </c>
      <c r="I14" s="258">
        <f t="shared" ca="1" si="7"/>
        <v>3242.92</v>
      </c>
      <c r="J14" s="259">
        <f>IF($B14="","",ROUND('Premiums Rates'!$J$94*(1+Premium!$C$21)^($B14-1),2))</f>
        <v>201.59</v>
      </c>
      <c r="K14" s="260">
        <f>IF($C14="","",IF(AND($B14&gt;='Premiums Rates'!$AL$4,$B14&lt;='Premiums Rates'!$AL$28),$J14*365,0))</f>
        <v>0</v>
      </c>
      <c r="L14" s="260">
        <f>IF($C14="","",IF(OR(Premium!$C$9="Joint",Premium!$C$9="Individual Plus Additional Insured"),$K14,0))</f>
        <v>0</v>
      </c>
      <c r="M14" s="260">
        <f>IF($B14="","",IF(OR(Premium!$C$19="No",Premium!$C$18="Lifetime"),0,IF(AND($B14&gt;='Premiums Rates'!$AL$4+VALUE(LEFT(Premium!$C$18,1)),$B14&lt;('Premiums Rates'!$AL$4+2*VALUE(LEFT(Premium!$C$18,1))),OR(Premium!$C$9="Joint",Premium!$C$9="Individual Plus Additional Insured"),Premium!$C$19="Yes"),$J14*365,0)))</f>
        <v>0</v>
      </c>
      <c r="N14" s="260">
        <f>IF($B14="","",IF(OR(Premium!$C$9="Joint",Premium!$C$9="Individual Plus Additional Insured"),K14+L14+M14,K14+M14))</f>
        <v>0</v>
      </c>
      <c r="O14" s="260">
        <f>IF($C14="","",IF(Premium!$C$28="None",0,IF(LEFT(Premium!$C$28,4)="FROP",SUM($E$4:$E14),MAX(0,SUM($E$4:$E14)-SUM($N$4:$N13)))))</f>
        <v>0</v>
      </c>
      <c r="P14" s="260">
        <f>IF($B14="","",IF(RIGHT(Premium!$C$28,1)="S",MAX(0,0.8*SUM($E$4:$E14)-SUM($N$4:$N13)),0))</f>
        <v>0</v>
      </c>
      <c r="Q14" s="260">
        <f t="shared" ca="1" si="8"/>
        <v>-3242.92</v>
      </c>
      <c r="S14" s="261"/>
      <c r="T14" s="261"/>
    </row>
    <row r="15" spans="1:16384">
      <c r="A15" s="264"/>
      <c r="B15" s="257">
        <f t="shared" si="9"/>
        <v>12</v>
      </c>
      <c r="C15" s="257">
        <f>IF(OR(C14="",C14=(Premium!$G$8-1)),"",$C14+1)</f>
        <v>66</v>
      </c>
      <c r="D15" s="257">
        <f>IF(OR(C15="",$D14=Premium!$G$8,$D14=""),"",$D14+1)</f>
        <v>66</v>
      </c>
      <c r="E15" s="258">
        <f ca="1">IF($B15="","",IF(Premium!$C$24&lt;&gt;"Lifetime Pay",0,IF($B15&lt;='Premiums Rates'!$AL$27,$E14+IF(Premium!$D$31="N/A",0,Premium!$D$31*VLOOKUP(Premium!$C$25,'Premiums Rates'!$O$111:$P$114,2,0)),0)))</f>
        <v>3242.92</v>
      </c>
      <c r="F15" s="258">
        <f t="shared" ca="1" si="6"/>
        <v>3242.92</v>
      </c>
      <c r="G15" s="258">
        <f ca="1">IF($B15="",0,MIN(VLOOKUP($C15,'Premiums Rates'!$AK$32:$AM$36,3,1)*(1+'Premiums Rates'!$AU$7)^($B15-1)+IF(OR(Premium!$C$9="Joint",Premium!$C$9="Individual Plus Additional Insured"),VLOOKUP($D15,'Premiums Rates'!$AK$32:$AM$36,3,1)*(1+'Premiums Rates'!$AU$7)^($B15-1)),F15))</f>
        <v>3242.92</v>
      </c>
      <c r="H15" s="258">
        <f>IF($C15="",0,IF('Premiums Rates'!$AL$6="None",0,IF('Premiums Rates'!$AL$6="C-Corp",$F15*'Premiums Rates'!$AL$5,$G15*'Premiums Rates'!$AL$5)))</f>
        <v>0</v>
      </c>
      <c r="I15" s="258">
        <f t="shared" ca="1" si="7"/>
        <v>3242.92</v>
      </c>
      <c r="J15" s="259">
        <f>IF($B15="","",ROUND('Premiums Rates'!$J$94*(1+Premium!$C$21)^($B15-1),2))</f>
        <v>207.64</v>
      </c>
      <c r="K15" s="260">
        <f>IF($C15="","",IF(AND($B15&gt;='Premiums Rates'!$AL$4,$B15&lt;='Premiums Rates'!$AL$28),$J15*365,0))</f>
        <v>0</v>
      </c>
      <c r="L15" s="260">
        <f>IF($C15="","",IF(OR(Premium!$C$9="Joint",Premium!$C$9="Individual Plus Additional Insured"),$K15,0))</f>
        <v>0</v>
      </c>
      <c r="M15" s="260">
        <f>IF($B15="","",IF(OR(Premium!$C$19="No",Premium!$C$18="Lifetime"),0,IF(AND($B15&gt;='Premiums Rates'!$AL$4+VALUE(LEFT(Premium!$C$18,1)),$B15&lt;('Premiums Rates'!$AL$4+2*VALUE(LEFT(Premium!$C$18,1))),OR(Premium!$C$9="Joint",Premium!$C$9="Individual Plus Additional Insured"),Premium!$C$19="Yes"),$J15*365,0)))</f>
        <v>0</v>
      </c>
      <c r="N15" s="260">
        <f>IF($B15="","",IF(OR(Premium!$C$9="Joint",Premium!$C$9="Individual Plus Additional Insured"),K15+L15+M15,K15+M15))</f>
        <v>0</v>
      </c>
      <c r="O15" s="260">
        <f>IF($C15="","",IF(Premium!$C$28="None",0,IF(LEFT(Premium!$C$28,4)="FROP",SUM($E$4:$E15),MAX(0,SUM($E$4:$E15)-SUM($N$4:$N14)))))</f>
        <v>0</v>
      </c>
      <c r="P15" s="260">
        <f>IF($B15="","",IF(RIGHT(Premium!$C$28,1)="S",MAX(0,0.8*SUM($E$4:$E15)-SUM($N$4:$N14)),0))</f>
        <v>0</v>
      </c>
      <c r="Q15" s="260">
        <f t="shared" ca="1" si="8"/>
        <v>-3242.92</v>
      </c>
      <c r="S15" s="261"/>
      <c r="T15" s="261"/>
    </row>
    <row r="16" spans="1:16384">
      <c r="A16" s="264"/>
      <c r="B16" s="257">
        <f t="shared" si="9"/>
        <v>13</v>
      </c>
      <c r="C16" s="257">
        <f>IF(OR(C15="",C15=(Premium!$G$8-1)),"",$C15+1)</f>
        <v>67</v>
      </c>
      <c r="D16" s="257">
        <f>IF(OR(C16="",$D15=Premium!$G$8,$D15=""),"",$D15+1)</f>
        <v>67</v>
      </c>
      <c r="E16" s="258">
        <f ca="1">IF($B16="","",IF(Premium!$C$24&lt;&gt;"Lifetime Pay",0,IF($B16&lt;='Premiums Rates'!$AL$27,$E15+IF(Premium!$D$31="N/A",0,Premium!$D$31*VLOOKUP(Premium!$C$25,'Premiums Rates'!$O$111:$P$114,2,0)),0)))</f>
        <v>3242.92</v>
      </c>
      <c r="F16" s="258">
        <f t="shared" ca="1" si="6"/>
        <v>3242.92</v>
      </c>
      <c r="G16" s="258">
        <f ca="1">IF($B16="",0,MIN(VLOOKUP($C16,'Premiums Rates'!$AK$32:$AM$36,3,1)*(1+'Premiums Rates'!$AU$7)^($B16-1)+IF(OR(Premium!$C$9="Joint",Premium!$C$9="Individual Plus Additional Insured"),VLOOKUP($D16,'Premiums Rates'!$AK$32:$AM$36,3,1)*(1+'Premiums Rates'!$AU$7)^($B16-1)),F16))</f>
        <v>3242.92</v>
      </c>
      <c r="H16" s="258">
        <f>IF($C16="",0,IF('Premiums Rates'!$AL$6="None",0,IF('Premiums Rates'!$AL$6="C-Corp",$F16*'Premiums Rates'!$AL$5,$G16*'Premiums Rates'!$AL$5)))</f>
        <v>0</v>
      </c>
      <c r="I16" s="258">
        <f t="shared" ca="1" si="7"/>
        <v>3242.92</v>
      </c>
      <c r="J16" s="259">
        <f>IF($B16="","",ROUND('Premiums Rates'!$J$94*(1+Premium!$C$21)^($B16-1),2))</f>
        <v>213.86</v>
      </c>
      <c r="K16" s="260">
        <f>IF($C16="","",IF(AND($B16&gt;='Premiums Rates'!$AL$4,$B16&lt;='Premiums Rates'!$AL$28),$J16*365,0))</f>
        <v>0</v>
      </c>
      <c r="L16" s="260">
        <f>IF($C16="","",IF(OR(Premium!$C$9="Joint",Premium!$C$9="Individual Plus Additional Insured"),$K16,0))</f>
        <v>0</v>
      </c>
      <c r="M16" s="260">
        <f>IF($B16="","",IF(OR(Premium!$C$19="No",Premium!$C$18="Lifetime"),0,IF(AND($B16&gt;='Premiums Rates'!$AL$4+VALUE(LEFT(Premium!$C$18,1)),$B16&lt;('Premiums Rates'!$AL$4+2*VALUE(LEFT(Premium!$C$18,1))),OR(Premium!$C$9="Joint",Premium!$C$9="Individual Plus Additional Insured"),Premium!$C$19="Yes"),$J16*365,0)))</f>
        <v>0</v>
      </c>
      <c r="N16" s="260">
        <f>IF($B16="","",IF(OR(Premium!$C$9="Joint",Premium!$C$9="Individual Plus Additional Insured"),K16+L16+M16,K16+M16))</f>
        <v>0</v>
      </c>
      <c r="O16" s="260">
        <f>IF($C16="","",IF(Premium!$C$28="None",0,IF(LEFT(Premium!$C$28,4)="FROP",SUM($E$4:$E16),MAX(0,SUM($E$4:$E16)-SUM($N$4:$N15)))))</f>
        <v>0</v>
      </c>
      <c r="P16" s="260">
        <f>IF($B16="","",IF(RIGHT(Premium!$C$28,1)="S",MAX(0,0.8*SUM($E$4:$E16)-SUM($N$4:$N15)),0))</f>
        <v>0</v>
      </c>
      <c r="Q16" s="260">
        <f t="shared" ca="1" si="8"/>
        <v>-3242.92</v>
      </c>
      <c r="S16" s="261"/>
      <c r="T16" s="261"/>
    </row>
    <row r="17" spans="1:20">
      <c r="A17" s="264"/>
      <c r="B17" s="257">
        <f t="shared" si="9"/>
        <v>14</v>
      </c>
      <c r="C17" s="257">
        <f>IF(OR(C16="",C16=(Premium!$G$8-1)),"",$C16+1)</f>
        <v>68</v>
      </c>
      <c r="D17" s="257">
        <f>IF(OR(C17="",$D16=Premium!$G$8,$D16=""),"",$D16+1)</f>
        <v>68</v>
      </c>
      <c r="E17" s="258">
        <f ca="1">IF($B17="","",IF(Premium!$C$24&lt;&gt;"Lifetime Pay",0,IF($B17&lt;='Premiums Rates'!$AL$27,$E16+IF(Premium!$D$31="N/A",0,Premium!$D$31*VLOOKUP(Premium!$C$25,'Premiums Rates'!$O$111:$P$114,2,0)),0)))</f>
        <v>3242.92</v>
      </c>
      <c r="F17" s="258">
        <f t="shared" ca="1" si="6"/>
        <v>3242.92</v>
      </c>
      <c r="G17" s="258">
        <f ca="1">IF($B17="",0,MIN(VLOOKUP($C17,'Premiums Rates'!$AK$32:$AM$36,3,1)*(1+'Premiums Rates'!$AU$7)^($B17-1)+IF(OR(Premium!$C$9="Joint",Premium!$C$9="Individual Plus Additional Insured"),VLOOKUP($D17,'Premiums Rates'!$AK$32:$AM$36,3,1)*(1+'Premiums Rates'!$AU$7)^($B17-1)),F17))</f>
        <v>3242.92</v>
      </c>
      <c r="H17" s="258">
        <f>IF($C17="",0,IF('Premiums Rates'!$AL$6="None",0,IF('Premiums Rates'!$AL$6="C-Corp",$F17*'Premiums Rates'!$AL$5,$G17*'Premiums Rates'!$AL$5)))</f>
        <v>0</v>
      </c>
      <c r="I17" s="258">
        <f t="shared" ca="1" si="7"/>
        <v>3242.92</v>
      </c>
      <c r="J17" s="259">
        <f>IF($B17="","",ROUND('Premiums Rates'!$J$94*(1+Premium!$C$21)^($B17-1),2))</f>
        <v>220.28</v>
      </c>
      <c r="K17" s="260">
        <f>IF($C17="","",IF(AND($B17&gt;='Premiums Rates'!$AL$4,$B17&lt;='Premiums Rates'!$AL$28),$J17*365,0))</f>
        <v>0</v>
      </c>
      <c r="L17" s="260">
        <f>IF($C17="","",IF(OR(Premium!$C$9="Joint",Premium!$C$9="Individual Plus Additional Insured"),$K17,0))</f>
        <v>0</v>
      </c>
      <c r="M17" s="260">
        <f>IF($B17="","",IF(OR(Premium!$C$19="No",Premium!$C$18="Lifetime"),0,IF(AND($B17&gt;='Premiums Rates'!$AL$4+VALUE(LEFT(Premium!$C$18,1)),$B17&lt;('Premiums Rates'!$AL$4+2*VALUE(LEFT(Premium!$C$18,1))),OR(Premium!$C$9="Joint",Premium!$C$9="Individual Plus Additional Insured"),Premium!$C$19="Yes"),$J17*365,0)))</f>
        <v>0</v>
      </c>
      <c r="N17" s="260">
        <f>IF($B17="","",IF(OR(Premium!$C$9="Joint",Premium!$C$9="Individual Plus Additional Insured"),K17+L17+M17,K17+M17))</f>
        <v>0</v>
      </c>
      <c r="O17" s="260">
        <f>IF($C17="","",IF(Premium!$C$28="None",0,IF(LEFT(Premium!$C$28,4)="FROP",SUM($E$4:$E17),MAX(0,SUM($E$4:$E17)-SUM($N$4:$N16)))))</f>
        <v>0</v>
      </c>
      <c r="P17" s="260">
        <f>IF($B17="","",IF(RIGHT(Premium!$C$28,1)="S",MAX(0,0.8*SUM($E$4:$E17)-SUM($N$4:$N16)),0))</f>
        <v>0</v>
      </c>
      <c r="Q17" s="260">
        <f t="shared" ca="1" si="8"/>
        <v>-3242.92</v>
      </c>
      <c r="S17" s="261"/>
      <c r="T17" s="261"/>
    </row>
    <row r="18" spans="1:20">
      <c r="A18" s="264"/>
      <c r="B18" s="257">
        <f t="shared" si="9"/>
        <v>15</v>
      </c>
      <c r="C18" s="257">
        <f>IF(OR(C17="",C17=(Premium!$G$8-1)),"",$C17+1)</f>
        <v>69</v>
      </c>
      <c r="D18" s="257">
        <f>IF(OR(C18="",$D17=Premium!$G$8,$D17=""),"",$D17+1)</f>
        <v>69</v>
      </c>
      <c r="E18" s="258">
        <f ca="1">IF($B18="","",IF(Premium!$C$24&lt;&gt;"Lifetime Pay",0,IF($B18&lt;='Premiums Rates'!$AL$27,$E17+IF(Premium!$D$31="N/A",0,Premium!$D$31*VLOOKUP(Premium!$C$25,'Premiums Rates'!$O$111:$P$114,2,0)),0)))</f>
        <v>3242.92</v>
      </c>
      <c r="F18" s="258">
        <f t="shared" ca="1" si="6"/>
        <v>3242.92</v>
      </c>
      <c r="G18" s="258">
        <f ca="1">IF($B18="",0,MIN(VLOOKUP($C18,'Premiums Rates'!$AK$32:$AM$36,3,1)*(1+'Premiums Rates'!$AU$7)^($B18-1)+IF(OR(Premium!$C$9="Joint",Premium!$C$9="Individual Plus Additional Insured"),VLOOKUP($D18,'Premiums Rates'!$AK$32:$AM$36,3,1)*(1+'Premiums Rates'!$AU$7)^($B18-1)),F18))</f>
        <v>3242.92</v>
      </c>
      <c r="H18" s="258">
        <f>IF($C18="",0,IF('Premiums Rates'!$AL$6="None",0,IF('Premiums Rates'!$AL$6="C-Corp",$F18*'Premiums Rates'!$AL$5,$G18*'Premiums Rates'!$AL$5)))</f>
        <v>0</v>
      </c>
      <c r="I18" s="258">
        <f t="shared" ca="1" si="7"/>
        <v>3242.92</v>
      </c>
      <c r="J18" s="259">
        <f>IF($B18="","",ROUND('Premiums Rates'!$J$94*(1+Premium!$C$21)^($B18-1),2))</f>
        <v>226.89</v>
      </c>
      <c r="K18" s="260">
        <f>IF($C18="","",IF(AND($B18&gt;='Premiums Rates'!$AL$4,$B18&lt;='Premiums Rates'!$AL$28),$J18*365,0))</f>
        <v>0</v>
      </c>
      <c r="L18" s="260">
        <f>IF($C18="","",IF(OR(Premium!$C$9="Joint",Premium!$C$9="Individual Plus Additional Insured"),$K18,0))</f>
        <v>0</v>
      </c>
      <c r="M18" s="260">
        <f>IF($B18="","",IF(OR(Premium!$C$19="No",Premium!$C$18="Lifetime"),0,IF(AND($B18&gt;='Premiums Rates'!$AL$4+VALUE(LEFT(Premium!$C$18,1)),$B18&lt;('Premiums Rates'!$AL$4+2*VALUE(LEFT(Premium!$C$18,1))),OR(Premium!$C$9="Joint",Premium!$C$9="Individual Plus Additional Insured"),Premium!$C$19="Yes"),$J18*365,0)))</f>
        <v>0</v>
      </c>
      <c r="N18" s="260">
        <f>IF($B18="","",IF(OR(Premium!$C$9="Joint",Premium!$C$9="Individual Plus Additional Insured"),K18+L18+M18,K18+M18))</f>
        <v>0</v>
      </c>
      <c r="O18" s="260">
        <f>IF($C18="","",IF(Premium!$C$28="None",0,IF(LEFT(Premium!$C$28,4)="FROP",SUM($E$4:$E18),MAX(0,SUM($E$4:$E18)-SUM($N$4:$N17)))))</f>
        <v>0</v>
      </c>
      <c r="P18" s="260">
        <f>IF($B18="","",IF(RIGHT(Premium!$C$28,1)="S",MAX(0,0.8*SUM($E$4:$E18)-SUM($N$4:$N17)),0))</f>
        <v>0</v>
      </c>
      <c r="Q18" s="260">
        <f t="shared" ca="1" si="8"/>
        <v>-3242.92</v>
      </c>
      <c r="S18" s="261"/>
      <c r="T18" s="261"/>
    </row>
    <row r="19" spans="1:20">
      <c r="A19" s="264"/>
      <c r="B19" s="257">
        <f t="shared" si="9"/>
        <v>16</v>
      </c>
      <c r="C19" s="257">
        <f>IF(OR(C18="",C18=(Premium!$G$8-1)),"",$C18+1)</f>
        <v>70</v>
      </c>
      <c r="D19" s="257">
        <f>IF(OR(C19="",$D18=Premium!$G$8,$D18=""),"",$D18+1)</f>
        <v>70</v>
      </c>
      <c r="E19" s="258">
        <f ca="1">IF($B19="","",IF(Premium!$C$24&lt;&gt;"Lifetime Pay",0,IF($B19&lt;='Premiums Rates'!$AL$27,$E18+IF(Premium!$D$31="N/A",0,Premium!$D$31*VLOOKUP(Premium!$C$25,'Premiums Rates'!$O$111:$P$114,2,0)),0)))</f>
        <v>3242.92</v>
      </c>
      <c r="F19" s="258">
        <f t="shared" ca="1" si="6"/>
        <v>3242.92</v>
      </c>
      <c r="G19" s="258">
        <f ca="1">IF($B19="",0,MIN(VLOOKUP($C19,'Premiums Rates'!$AK$32:$AM$36,3,1)*(1+'Premiums Rates'!$AU$7)^($B19-1)+IF(OR(Premium!$C$9="Joint",Premium!$C$9="Individual Plus Additional Insured"),VLOOKUP($D19,'Premiums Rates'!$AK$32:$AM$36,3,1)*(1+'Premiums Rates'!$AU$7)^($B19-1)),F19))</f>
        <v>3242.92</v>
      </c>
      <c r="H19" s="258">
        <f>IF($C19="",0,IF('Premiums Rates'!$AL$6="None",0,IF('Premiums Rates'!$AL$6="C-Corp",$F19*'Premiums Rates'!$AL$5,$G19*'Premiums Rates'!$AL$5)))</f>
        <v>0</v>
      </c>
      <c r="I19" s="258">
        <f t="shared" ca="1" si="7"/>
        <v>3242.92</v>
      </c>
      <c r="J19" s="259">
        <f>IF($B19="","",ROUND('Premiums Rates'!$J$94*(1+Premium!$C$21)^($B19-1),2))</f>
        <v>233.7</v>
      </c>
      <c r="K19" s="260">
        <f>IF($C19="","",IF(AND($B19&gt;='Premiums Rates'!$AL$4,$B19&lt;='Premiums Rates'!$AL$28),$J19*365,0))</f>
        <v>0</v>
      </c>
      <c r="L19" s="260">
        <f>IF($C19="","",IF(OR(Premium!$C$9="Joint",Premium!$C$9="Individual Plus Additional Insured"),$K19,0))</f>
        <v>0</v>
      </c>
      <c r="M19" s="260">
        <f>IF($B19="","",IF(OR(Premium!$C$19="No",Premium!$C$18="Lifetime"),0,IF(AND($B19&gt;='Premiums Rates'!$AL$4+VALUE(LEFT(Premium!$C$18,1)),$B19&lt;('Premiums Rates'!$AL$4+2*VALUE(LEFT(Premium!$C$18,1))),OR(Premium!$C$9="Joint",Premium!$C$9="Individual Plus Additional Insured"),Premium!$C$19="Yes"),$J19*365,0)))</f>
        <v>0</v>
      </c>
      <c r="N19" s="260">
        <f>IF($B19="","",IF(OR(Premium!$C$9="Joint",Premium!$C$9="Individual Plus Additional Insured"),K19+L19+M19,K19+M19))</f>
        <v>0</v>
      </c>
      <c r="O19" s="260">
        <f>IF($C19="","",IF(Premium!$C$28="None",0,IF(LEFT(Premium!$C$28,4)="FROP",SUM($E$4:$E19),MAX(0,SUM($E$4:$E19)-SUM($N$4:$N18)))))</f>
        <v>0</v>
      </c>
      <c r="P19" s="260">
        <f>IF($B19="","",IF(RIGHT(Premium!$C$28,1)="S",MAX(0,0.8*SUM($E$4:$E19)-SUM($N$4:$N18)),0))</f>
        <v>0</v>
      </c>
      <c r="Q19" s="260">
        <f t="shared" ca="1" si="8"/>
        <v>-3242.92</v>
      </c>
      <c r="S19" s="261"/>
      <c r="T19" s="261"/>
    </row>
    <row r="20" spans="1:20">
      <c r="A20" s="264"/>
      <c r="B20" s="257">
        <f t="shared" si="9"/>
        <v>17</v>
      </c>
      <c r="C20" s="257">
        <f>IF(OR(C19="",C19=(Premium!$G$8-1)),"",$C19+1)</f>
        <v>71</v>
      </c>
      <c r="D20" s="257">
        <f>IF(OR(C20="",$D19=Premium!$G$8,$D19=""),"",$D19+1)</f>
        <v>71</v>
      </c>
      <c r="E20" s="258">
        <f ca="1">IF($B20="","",IF(Premium!$C$24&lt;&gt;"Lifetime Pay",0,IF($B20&lt;='Premiums Rates'!$AL$27,$E19+IF(Premium!$D$31="N/A",0,Premium!$D$31*VLOOKUP(Premium!$C$25,'Premiums Rates'!$O$111:$P$114,2,0)),0)))</f>
        <v>3242.92</v>
      </c>
      <c r="F20" s="258">
        <f t="shared" ca="1" si="6"/>
        <v>3242.92</v>
      </c>
      <c r="G20" s="258">
        <f ca="1">IF($B20="",0,MIN(VLOOKUP($C20,'Premiums Rates'!$AK$32:$AM$36,3,1)*(1+'Premiums Rates'!$AU$7)^($B20-1)+IF(OR(Premium!$C$9="Joint",Premium!$C$9="Individual Plus Additional Insured"),VLOOKUP($D20,'Premiums Rates'!$AK$32:$AM$36,3,1)*(1+'Premiums Rates'!$AU$7)^($B20-1)),F20))</f>
        <v>3242.92</v>
      </c>
      <c r="H20" s="258">
        <f>IF($C20="",0,IF('Premiums Rates'!$AL$6="None",0,IF('Premiums Rates'!$AL$6="C-Corp",$F20*'Premiums Rates'!$AL$5,$G20*'Premiums Rates'!$AL$5)))</f>
        <v>0</v>
      </c>
      <c r="I20" s="258">
        <f t="shared" ca="1" si="7"/>
        <v>3242.92</v>
      </c>
      <c r="J20" s="259">
        <f>IF($B20="","",ROUND('Premiums Rates'!$J$94*(1+Premium!$C$21)^($B20-1),2))</f>
        <v>240.71</v>
      </c>
      <c r="K20" s="260">
        <f>IF($C20="","",IF(AND($B20&gt;='Premiums Rates'!$AL$4,$B20&lt;='Premiums Rates'!$AL$28),$J20*365,0))</f>
        <v>0</v>
      </c>
      <c r="L20" s="260">
        <f>IF($C20="","",IF(OR(Premium!$C$9="Joint",Premium!$C$9="Individual Plus Additional Insured"),$K20,0))</f>
        <v>0</v>
      </c>
      <c r="M20" s="260">
        <f>IF($B20="","",IF(OR(Premium!$C$19="No",Premium!$C$18="Lifetime"),0,IF(AND($B20&gt;='Premiums Rates'!$AL$4+VALUE(LEFT(Premium!$C$18,1)),$B20&lt;('Premiums Rates'!$AL$4+2*VALUE(LEFT(Premium!$C$18,1))),OR(Premium!$C$9="Joint",Premium!$C$9="Individual Plus Additional Insured"),Premium!$C$19="Yes"),$J20*365,0)))</f>
        <v>0</v>
      </c>
      <c r="N20" s="260">
        <f>IF($B20="","",IF(OR(Premium!$C$9="Joint",Premium!$C$9="Individual Plus Additional Insured"),K20+L20+M20,K20+M20))</f>
        <v>0</v>
      </c>
      <c r="O20" s="260">
        <f>IF($C20="","",IF(Premium!$C$28="None",0,IF(LEFT(Premium!$C$28,4)="FROP",SUM($E$4:$E20),MAX(0,SUM($E$4:$E20)-SUM($N$4:$N19)))))</f>
        <v>0</v>
      </c>
      <c r="P20" s="260">
        <f>IF($B20="","",IF(RIGHT(Premium!$C$28,1)="S",MAX(0,0.8*SUM($E$4:$E20)-SUM($N$4:$N19)),0))</f>
        <v>0</v>
      </c>
      <c r="Q20" s="260">
        <f t="shared" ca="1" si="8"/>
        <v>-3242.92</v>
      </c>
      <c r="S20" s="261"/>
      <c r="T20" s="261"/>
    </row>
    <row r="21" spans="1:20">
      <c r="A21" s="264"/>
      <c r="B21" s="257">
        <f t="shared" si="9"/>
        <v>18</v>
      </c>
      <c r="C21" s="257">
        <f>IF(OR(C20="",C20=(Premium!$G$8-1)),"",$C20+1)</f>
        <v>72</v>
      </c>
      <c r="D21" s="257">
        <f>IF(OR(C21="",$D20=Premium!$G$8,$D20=""),"",$D20+1)</f>
        <v>72</v>
      </c>
      <c r="E21" s="258">
        <f ca="1">IF($B21="","",IF(Premium!$C$24&lt;&gt;"Lifetime Pay",0,IF($B21&lt;='Premiums Rates'!$AL$27,$E20+IF(Premium!$D$31="N/A",0,Premium!$D$31*VLOOKUP(Premium!$C$25,'Premiums Rates'!$O$111:$P$114,2,0)),0)))</f>
        <v>3242.92</v>
      </c>
      <c r="F21" s="258">
        <f t="shared" ca="1" si="6"/>
        <v>3242.92</v>
      </c>
      <c r="G21" s="258">
        <f ca="1">IF($B21="",0,MIN(VLOOKUP($C21,'Premiums Rates'!$AK$32:$AM$36,3,1)*(1+'Premiums Rates'!$AU$7)^($B21-1)+IF(OR(Premium!$C$9="Joint",Premium!$C$9="Individual Plus Additional Insured"),VLOOKUP($D21,'Premiums Rates'!$AK$32:$AM$36,3,1)*(1+'Premiums Rates'!$AU$7)^($B21-1)),F21))</f>
        <v>3242.92</v>
      </c>
      <c r="H21" s="258">
        <f>IF($C21="",0,IF('Premiums Rates'!$AL$6="None",0,IF('Premiums Rates'!$AL$6="C-Corp",$F21*'Premiums Rates'!$AL$5,$G21*'Premiums Rates'!$AL$5)))</f>
        <v>0</v>
      </c>
      <c r="I21" s="258">
        <f t="shared" ca="1" si="7"/>
        <v>3242.92</v>
      </c>
      <c r="J21" s="259">
        <f>IF($B21="","",ROUND('Premiums Rates'!$J$94*(1+Premium!$C$21)^($B21-1),2))</f>
        <v>247.93</v>
      </c>
      <c r="K21" s="260">
        <f>IF($C21="","",IF(AND($B21&gt;='Premiums Rates'!$AL$4,$B21&lt;='Premiums Rates'!$AL$28),$J21*365,0))</f>
        <v>0</v>
      </c>
      <c r="L21" s="260">
        <f>IF($C21="","",IF(OR(Premium!$C$9="Joint",Premium!$C$9="Individual Plus Additional Insured"),$K21,0))</f>
        <v>0</v>
      </c>
      <c r="M21" s="260">
        <f>IF($B21="","",IF(OR(Premium!$C$19="No",Premium!$C$18="Lifetime"),0,IF(AND($B21&gt;='Premiums Rates'!$AL$4+VALUE(LEFT(Premium!$C$18,1)),$B21&lt;('Premiums Rates'!$AL$4+2*VALUE(LEFT(Premium!$C$18,1))),OR(Premium!$C$9="Joint",Premium!$C$9="Individual Plus Additional Insured"),Premium!$C$19="Yes"),$J21*365,0)))</f>
        <v>0</v>
      </c>
      <c r="N21" s="260">
        <f>IF($B21="","",IF(OR(Premium!$C$9="Joint",Premium!$C$9="Individual Plus Additional Insured"),K21+L21+M21,K21+M21))</f>
        <v>0</v>
      </c>
      <c r="O21" s="260">
        <f>IF($C21="","",IF(Premium!$C$28="None",0,IF(LEFT(Premium!$C$28,4)="FROP",SUM($E$4:$E21),MAX(0,SUM($E$4:$E21)-SUM($N$4:$N20)))))</f>
        <v>0</v>
      </c>
      <c r="P21" s="260">
        <f>IF($B21="","",IF(RIGHT(Premium!$C$28,1)="S",MAX(0,0.8*SUM($E$4:$E21)-SUM($N$4:$N20)),0))</f>
        <v>0</v>
      </c>
      <c r="Q21" s="260">
        <f t="shared" ca="1" si="8"/>
        <v>-3242.92</v>
      </c>
      <c r="S21" s="261"/>
      <c r="T21" s="261"/>
    </row>
    <row r="22" spans="1:20">
      <c r="A22" s="264"/>
      <c r="B22" s="257">
        <f t="shared" si="9"/>
        <v>19</v>
      </c>
      <c r="C22" s="257">
        <f>IF(OR(C21="",C21=(Premium!$G$8-1)),"",$C21+1)</f>
        <v>73</v>
      </c>
      <c r="D22" s="257">
        <f>IF(OR(C22="",$D21=Premium!$G$8,$D21=""),"",$D21+1)</f>
        <v>73</v>
      </c>
      <c r="E22" s="258">
        <f ca="1">IF($B22="","",IF(Premium!$C$24&lt;&gt;"Lifetime Pay",0,IF($B22&lt;='Premiums Rates'!$AL$27,$E21+IF(Premium!$D$31="N/A",0,Premium!$D$31*VLOOKUP(Premium!$C$25,'Premiums Rates'!$O$111:$P$114,2,0)),0)))</f>
        <v>3242.92</v>
      </c>
      <c r="F22" s="258">
        <f t="shared" ca="1" si="6"/>
        <v>3242.92</v>
      </c>
      <c r="G22" s="258">
        <f ca="1">IF($B22="",0,MIN(VLOOKUP($C22,'Premiums Rates'!$AK$32:$AM$36,3,1)*(1+'Premiums Rates'!$AU$7)^($B22-1)+IF(OR(Premium!$C$9="Joint",Premium!$C$9="Individual Plus Additional Insured"),VLOOKUP($D22,'Premiums Rates'!$AK$32:$AM$36,3,1)*(1+'Premiums Rates'!$AU$7)^($B22-1)),F22))</f>
        <v>3242.92</v>
      </c>
      <c r="H22" s="258">
        <f>IF($C22="",0,IF('Premiums Rates'!$AL$6="None",0,IF('Premiums Rates'!$AL$6="C-Corp",$F22*'Premiums Rates'!$AL$5,$G22*'Premiums Rates'!$AL$5)))</f>
        <v>0</v>
      </c>
      <c r="I22" s="258">
        <f t="shared" ca="1" si="7"/>
        <v>3242.92</v>
      </c>
      <c r="J22" s="259">
        <f>IF($B22="","",ROUND('Premiums Rates'!$J$94*(1+Premium!$C$21)^($B22-1),2))</f>
        <v>255.36</v>
      </c>
      <c r="K22" s="260">
        <f>IF($C22="","",IF(AND($B22&gt;='Premiums Rates'!$AL$4,$B22&lt;='Premiums Rates'!$AL$28),$J22*365,0))</f>
        <v>0</v>
      </c>
      <c r="L22" s="260">
        <f>IF($C22="","",IF(OR(Premium!$C$9="Joint",Premium!$C$9="Individual Plus Additional Insured"),$K22,0))</f>
        <v>0</v>
      </c>
      <c r="M22" s="260">
        <f>IF($B22="","",IF(OR(Premium!$C$19="No",Premium!$C$18="Lifetime"),0,IF(AND($B22&gt;='Premiums Rates'!$AL$4+VALUE(LEFT(Premium!$C$18,1)),$B22&lt;('Premiums Rates'!$AL$4+2*VALUE(LEFT(Premium!$C$18,1))),OR(Premium!$C$9="Joint",Premium!$C$9="Individual Plus Additional Insured"),Premium!$C$19="Yes"),$J22*365,0)))</f>
        <v>0</v>
      </c>
      <c r="N22" s="260">
        <f>IF($B22="","",IF(OR(Premium!$C$9="Joint",Premium!$C$9="Individual Plus Additional Insured"),K22+L22+M22,K22+M22))</f>
        <v>0</v>
      </c>
      <c r="O22" s="260">
        <f>IF($C22="","",IF(Premium!$C$28="None",0,IF(LEFT(Premium!$C$28,4)="FROP",SUM($E$4:$E22),MAX(0,SUM($E$4:$E22)-SUM($N$4:$N21)))))</f>
        <v>0</v>
      </c>
      <c r="P22" s="260">
        <f>IF($B22="","",IF(RIGHT(Premium!$C$28,1)="S",MAX(0,0.8*SUM($E$4:$E22)-SUM($N$4:$N21)),0))</f>
        <v>0</v>
      </c>
      <c r="Q22" s="260">
        <f t="shared" ca="1" si="8"/>
        <v>-3242.92</v>
      </c>
      <c r="S22" s="261"/>
      <c r="T22" s="261"/>
    </row>
    <row r="23" spans="1:20">
      <c r="A23" s="264"/>
      <c r="B23" s="257">
        <f t="shared" si="9"/>
        <v>20</v>
      </c>
      <c r="C23" s="257">
        <f>IF(OR(C22="",C22=(Premium!$G$8-1)),"",$C22+1)</f>
        <v>74</v>
      </c>
      <c r="D23" s="257">
        <f>IF(OR(C23="",$D22=Premium!$G$8,$D22=""),"",$D22+1)</f>
        <v>74</v>
      </c>
      <c r="E23" s="258">
        <f ca="1">IF($B23="","",IF(Premium!$C$24&lt;&gt;"Lifetime Pay",0,IF($B23&lt;='Premiums Rates'!$AL$27,$E22+IF(Premium!$D$31="N/A",0,Premium!$D$31*VLOOKUP(Premium!$C$25,'Premiums Rates'!$O$111:$P$114,2,0)),0)))</f>
        <v>3242.92</v>
      </c>
      <c r="F23" s="258">
        <f t="shared" ca="1" si="6"/>
        <v>3242.92</v>
      </c>
      <c r="G23" s="258">
        <f ca="1">IF($B23="",0,MIN(VLOOKUP($C23,'Premiums Rates'!$AK$32:$AM$36,3,1)*(1+'Premiums Rates'!$AU$7)^($B23-1)+IF(OR(Premium!$C$9="Joint",Premium!$C$9="Individual Plus Additional Insured"),VLOOKUP($D23,'Premiums Rates'!$AK$32:$AM$36,3,1)*(1+'Premiums Rates'!$AU$7)^($B23-1)),F23))</f>
        <v>3242.92</v>
      </c>
      <c r="H23" s="258">
        <f>IF($C23="",0,IF('Premiums Rates'!$AL$6="None",0,IF('Premiums Rates'!$AL$6="C-Corp",$F23*'Premiums Rates'!$AL$5,$G23*'Premiums Rates'!$AL$5)))</f>
        <v>0</v>
      </c>
      <c r="I23" s="258">
        <f t="shared" ca="1" si="7"/>
        <v>3242.92</v>
      </c>
      <c r="J23" s="259">
        <f>IF($B23="","",ROUND('Premiums Rates'!$J$94*(1+Premium!$C$21)^($B23-1),2))</f>
        <v>263.02999999999997</v>
      </c>
      <c r="K23" s="260">
        <f>IF($C23="","",IF(AND($B23&gt;='Premiums Rates'!$AL$4,$B23&lt;='Premiums Rates'!$AL$28),$J23*365,0))</f>
        <v>0</v>
      </c>
      <c r="L23" s="260">
        <f>IF($C23="","",IF(OR(Premium!$C$9="Joint",Premium!$C$9="Individual Plus Additional Insured"),$K23,0))</f>
        <v>0</v>
      </c>
      <c r="M23" s="260">
        <f>IF($B23="","",IF(OR(Premium!$C$19="No",Premium!$C$18="Lifetime"),0,IF(AND($B23&gt;='Premiums Rates'!$AL$4+VALUE(LEFT(Premium!$C$18,1)),$B23&lt;('Premiums Rates'!$AL$4+2*VALUE(LEFT(Premium!$C$18,1))),OR(Premium!$C$9="Joint",Premium!$C$9="Individual Plus Additional Insured"),Premium!$C$19="Yes"),$J23*365,0)))</f>
        <v>0</v>
      </c>
      <c r="N23" s="260">
        <f>IF($B23="","",IF(OR(Premium!$C$9="Joint",Premium!$C$9="Individual Plus Additional Insured"),K23+L23+M23,K23+M23))</f>
        <v>0</v>
      </c>
      <c r="O23" s="260">
        <f>IF($C23="","",IF(Premium!$C$28="None",0,IF(LEFT(Premium!$C$28,4)="FROP",SUM($E$4:$E23),MAX(0,SUM($E$4:$E23)-SUM($N$4:$N22)))))</f>
        <v>0</v>
      </c>
      <c r="P23" s="260">
        <f>IF($B23="","",IF(RIGHT(Premium!$C$28,1)="S",MAX(0,0.8*SUM($E$4:$E23)-SUM($N$4:$N22)),0))</f>
        <v>0</v>
      </c>
      <c r="Q23" s="260">
        <f t="shared" ca="1" si="8"/>
        <v>-3242.92</v>
      </c>
      <c r="S23" s="261"/>
      <c r="T23" s="261"/>
    </row>
    <row r="24" spans="1:20">
      <c r="A24" s="264"/>
      <c r="B24" s="257">
        <f t="shared" si="9"/>
        <v>21</v>
      </c>
      <c r="C24" s="257">
        <f>IF(OR(C23="",C23=(Premium!$G$8-1)),"",$C23+1)</f>
        <v>75</v>
      </c>
      <c r="D24" s="257">
        <f>IF(OR(C24="",$D23=Premium!$G$8,$D23=""),"",$D23+1)</f>
        <v>75</v>
      </c>
      <c r="E24" s="258">
        <f ca="1">IF($B24="","",IF(Premium!$C$24&lt;&gt;"Lifetime Pay",0,IF($B24&lt;='Premiums Rates'!$AL$27,$E23+IF(Premium!$D$31="N/A",0,Premium!$D$31*VLOOKUP(Premium!$C$25,'Premiums Rates'!$O$111:$P$114,2,0)),0)))</f>
        <v>3242.92</v>
      </c>
      <c r="F24" s="258">
        <f t="shared" ca="1" si="6"/>
        <v>3242.92</v>
      </c>
      <c r="G24" s="258">
        <f ca="1">IF($B24="",0,MIN(VLOOKUP($C24,'Premiums Rates'!$AK$32:$AM$36,3,1)*(1+'Premiums Rates'!$AU$7)^($B24-1)+IF(OR(Premium!$C$9="Joint",Premium!$C$9="Individual Plus Additional Insured"),VLOOKUP($D24,'Premiums Rates'!$AK$32:$AM$36,3,1)*(1+'Premiums Rates'!$AU$7)^($B24-1)),F24))</f>
        <v>3242.92</v>
      </c>
      <c r="H24" s="258">
        <f>IF($C24="",0,IF('Premiums Rates'!$AL$6="None",0,IF('Premiums Rates'!$AL$6="C-Corp",$F24*'Premiums Rates'!$AL$5,$G24*'Premiums Rates'!$AL$5)))</f>
        <v>0</v>
      </c>
      <c r="I24" s="258">
        <f t="shared" ca="1" si="7"/>
        <v>3242.92</v>
      </c>
      <c r="J24" s="259">
        <f>IF($B24="","",ROUND('Premiums Rates'!$J$94*(1+Premium!$C$21)^($B24-1),2))</f>
        <v>270.92</v>
      </c>
      <c r="K24" s="260">
        <f>IF($C24="","",IF(AND($B24&gt;='Premiums Rates'!$AL$4,$B24&lt;='Premiums Rates'!$AL$28),$J24*365,0))</f>
        <v>0</v>
      </c>
      <c r="L24" s="260">
        <f>IF($C24="","",IF(OR(Premium!$C$9="Joint",Premium!$C$9="Individual Plus Additional Insured"),$K24,0))</f>
        <v>0</v>
      </c>
      <c r="M24" s="260">
        <f>IF($B24="","",IF(OR(Premium!$C$19="No",Premium!$C$18="Lifetime"),0,IF(AND($B24&gt;='Premiums Rates'!$AL$4+VALUE(LEFT(Premium!$C$18,1)),$B24&lt;('Premiums Rates'!$AL$4+2*VALUE(LEFT(Premium!$C$18,1))),OR(Premium!$C$9="Joint",Premium!$C$9="Individual Plus Additional Insured"),Premium!$C$19="Yes"),$J24*365,0)))</f>
        <v>0</v>
      </c>
      <c r="N24" s="260">
        <f>IF($B24="","",IF(OR(Premium!$C$9="Joint",Premium!$C$9="Individual Plus Additional Insured"),K24+L24+M24,K24+M24))</f>
        <v>0</v>
      </c>
      <c r="O24" s="260">
        <f>IF($C24="","",IF(Premium!$C$28="None",0,IF(LEFT(Premium!$C$28,4)="FROP",SUM($E$4:$E24),MAX(0,SUM($E$4:$E24)-SUM($N$4:$N23)))))</f>
        <v>0</v>
      </c>
      <c r="P24" s="260">
        <f>IF($B24="","",IF(RIGHT(Premium!$C$28,1)="S",MAX(0,0.8*SUM($E$4:$E24)-SUM($N$4:$N23)),0))</f>
        <v>0</v>
      </c>
      <c r="Q24" s="260">
        <f t="shared" ca="1" si="8"/>
        <v>-3242.92</v>
      </c>
      <c r="S24" s="261"/>
      <c r="T24" s="261"/>
    </row>
    <row r="25" spans="1:20">
      <c r="A25" s="264"/>
      <c r="B25" s="257">
        <f t="shared" si="9"/>
        <v>22</v>
      </c>
      <c r="C25" s="257">
        <f>IF(OR(C24="",C24=(Premium!$G$8-1)),"",$C24+1)</f>
        <v>76</v>
      </c>
      <c r="D25" s="257">
        <f>IF(OR(C25="",$D24=Premium!$G$8,$D24=""),"",$D24+1)</f>
        <v>76</v>
      </c>
      <c r="E25" s="258">
        <f ca="1">IF($B25="","",IF(Premium!$C$24&lt;&gt;"Lifetime Pay",0,IF($B25&lt;='Premiums Rates'!$AL$27,$E24+IF(Premium!$D$31="N/A",0,Premium!$D$31*VLOOKUP(Premium!$C$25,'Premiums Rates'!$O$111:$P$114,2,0)),0)))</f>
        <v>3242.92</v>
      </c>
      <c r="F25" s="258">
        <f t="shared" ca="1" si="6"/>
        <v>3242.92</v>
      </c>
      <c r="G25" s="258">
        <f ca="1">IF($B25="",0,MIN(VLOOKUP($C25,'Premiums Rates'!$AK$32:$AM$36,3,1)*(1+'Premiums Rates'!$AU$7)^($B25-1)+IF(OR(Premium!$C$9="Joint",Premium!$C$9="Individual Plus Additional Insured"),VLOOKUP($D25,'Premiums Rates'!$AK$32:$AM$36,3,1)*(1+'Premiums Rates'!$AU$7)^($B25-1)),F25))</f>
        <v>3242.92</v>
      </c>
      <c r="H25" s="258">
        <f>IF($C25="",0,IF('Premiums Rates'!$AL$6="None",0,IF('Premiums Rates'!$AL$6="C-Corp",$F25*'Premiums Rates'!$AL$5,$G25*'Premiums Rates'!$AL$5)))</f>
        <v>0</v>
      </c>
      <c r="I25" s="258">
        <f t="shared" ca="1" si="7"/>
        <v>3242.92</v>
      </c>
      <c r="J25" s="259">
        <f>IF($B25="","",ROUND('Premiums Rates'!$J$94*(1+Premium!$C$21)^($B25-1),2))</f>
        <v>279.04000000000002</v>
      </c>
      <c r="K25" s="260">
        <f>IF($C25="","",IF(AND($B25&gt;='Premiums Rates'!$AL$4,$B25&lt;='Premiums Rates'!$AL$28),$J25*365,0))</f>
        <v>0</v>
      </c>
      <c r="L25" s="260">
        <f>IF($C25="","",IF(OR(Premium!$C$9="Joint",Premium!$C$9="Individual Plus Additional Insured"),$K25,0))</f>
        <v>0</v>
      </c>
      <c r="M25" s="260">
        <f>IF($B25="","",IF(OR(Premium!$C$19="No",Premium!$C$18="Lifetime"),0,IF(AND($B25&gt;='Premiums Rates'!$AL$4+VALUE(LEFT(Premium!$C$18,1)),$B25&lt;('Premiums Rates'!$AL$4+2*VALUE(LEFT(Premium!$C$18,1))),OR(Premium!$C$9="Joint",Premium!$C$9="Individual Plus Additional Insured"),Premium!$C$19="Yes"),$J25*365,0)))</f>
        <v>0</v>
      </c>
      <c r="N25" s="260">
        <f>IF($B25="","",IF(OR(Premium!$C$9="Joint",Premium!$C$9="Individual Plus Additional Insured"),K25+L25+M25,K25+M25))</f>
        <v>0</v>
      </c>
      <c r="O25" s="260">
        <f>IF($C25="","",IF(Premium!$C$28="None",0,IF(LEFT(Premium!$C$28,4)="FROP",SUM($E$4:$E25),MAX(0,SUM($E$4:$E25)-SUM($N$4:$N24)))))</f>
        <v>0</v>
      </c>
      <c r="P25" s="260">
        <f>IF($B25="","",IF(RIGHT(Premium!$C$28,1)="S",MAX(0,0.8*SUM($E$4:$E25)-SUM($N$4:$N24)),0))</f>
        <v>0</v>
      </c>
      <c r="Q25" s="260">
        <f t="shared" ca="1" si="8"/>
        <v>-3242.92</v>
      </c>
      <c r="S25" s="261"/>
      <c r="T25" s="261"/>
    </row>
    <row r="26" spans="1:20">
      <c r="A26" s="264"/>
      <c r="B26" s="257">
        <f t="shared" si="9"/>
        <v>23</v>
      </c>
      <c r="C26" s="257">
        <f>IF(OR(C25="",C25=(Premium!$G$8-1)),"",$C25+1)</f>
        <v>77</v>
      </c>
      <c r="D26" s="257">
        <f>IF(OR(C26="",$D25=Premium!$G$8,$D25=""),"",$D25+1)</f>
        <v>77</v>
      </c>
      <c r="E26" s="258">
        <f ca="1">IF($B26="","",IF(Premium!$C$24&lt;&gt;"Lifetime Pay",0,IF($B26&lt;='Premiums Rates'!$AL$27,$E25+IF(Premium!$D$31="N/A",0,Premium!$D$31*VLOOKUP(Premium!$C$25,'Premiums Rates'!$O$111:$P$114,2,0)),0)))</f>
        <v>3242.92</v>
      </c>
      <c r="F26" s="258">
        <f t="shared" ca="1" si="6"/>
        <v>3242.92</v>
      </c>
      <c r="G26" s="258">
        <f ca="1">IF($B26="",0,MIN(VLOOKUP($C26,'Premiums Rates'!$AK$32:$AM$36,3,1)*(1+'Premiums Rates'!$AU$7)^($B26-1)+IF(OR(Premium!$C$9="Joint",Premium!$C$9="Individual Plus Additional Insured"),VLOOKUP($D26,'Premiums Rates'!$AK$32:$AM$36,3,1)*(1+'Premiums Rates'!$AU$7)^($B26-1)),F26))</f>
        <v>3242.92</v>
      </c>
      <c r="H26" s="258">
        <f>IF($C26="",0,IF('Premiums Rates'!$AL$6="None",0,IF('Premiums Rates'!$AL$6="C-Corp",$F26*'Premiums Rates'!$AL$5,$G26*'Premiums Rates'!$AL$5)))</f>
        <v>0</v>
      </c>
      <c r="I26" s="258">
        <f t="shared" ca="1" si="7"/>
        <v>3242.92</v>
      </c>
      <c r="J26" s="259">
        <f>IF($B26="","",ROUND('Premiums Rates'!$J$94*(1+Premium!$C$21)^($B26-1),2))</f>
        <v>287.42</v>
      </c>
      <c r="K26" s="260">
        <f>IF($C26="","",IF(AND($B26&gt;='Premiums Rates'!$AL$4,$B26&lt;='Premiums Rates'!$AL$28),$J26*365,0))</f>
        <v>0</v>
      </c>
      <c r="L26" s="260">
        <f>IF($C26="","",IF(OR(Premium!$C$9="Joint",Premium!$C$9="Individual Plus Additional Insured"),$K26,0))</f>
        <v>0</v>
      </c>
      <c r="M26" s="260">
        <f>IF($B26="","",IF(OR(Premium!$C$19="No",Premium!$C$18="Lifetime"),0,IF(AND($B26&gt;='Premiums Rates'!$AL$4+VALUE(LEFT(Premium!$C$18,1)),$B26&lt;('Premiums Rates'!$AL$4+2*VALUE(LEFT(Premium!$C$18,1))),OR(Premium!$C$9="Joint",Premium!$C$9="Individual Plus Additional Insured"),Premium!$C$19="Yes"),$J26*365,0)))</f>
        <v>0</v>
      </c>
      <c r="N26" s="260">
        <f>IF($B26="","",IF(OR(Premium!$C$9="Joint",Premium!$C$9="Individual Plus Additional Insured"),K26+L26+M26,K26+M26))</f>
        <v>0</v>
      </c>
      <c r="O26" s="260">
        <f>IF($C26="","",IF(Premium!$C$28="None",0,IF(LEFT(Premium!$C$28,4)="FROP",SUM($E$4:$E26),MAX(0,SUM($E$4:$E26)-SUM($N$4:$N25)))))</f>
        <v>0</v>
      </c>
      <c r="P26" s="260">
        <f>IF($B26="","",IF(RIGHT(Premium!$C$28,1)="S",MAX(0,0.8*SUM($E$4:$E26)-SUM($N$4:$N25)),0))</f>
        <v>0</v>
      </c>
      <c r="Q26" s="260">
        <f t="shared" ca="1" si="8"/>
        <v>-3242.92</v>
      </c>
      <c r="S26" s="261"/>
      <c r="T26" s="261"/>
    </row>
    <row r="27" spans="1:20">
      <c r="A27" s="264"/>
      <c r="B27" s="257">
        <f t="shared" si="9"/>
        <v>24</v>
      </c>
      <c r="C27" s="257">
        <f>IF(OR(C26="",C26=(Premium!$G$8-1)),"",$C26+1)</f>
        <v>78</v>
      </c>
      <c r="D27" s="257">
        <f>IF(OR(C27="",$D26=Premium!$G$8,$D26=""),"",$D26+1)</f>
        <v>78</v>
      </c>
      <c r="E27" s="258">
        <f ca="1">IF($B27="","",IF(Premium!$C$24&lt;&gt;"Lifetime Pay",0,IF($B27&lt;='Premiums Rates'!$AL$27,$E26+IF(Premium!$D$31="N/A",0,Premium!$D$31*VLOOKUP(Premium!$C$25,'Premiums Rates'!$O$111:$P$114,2,0)),0)))</f>
        <v>3242.92</v>
      </c>
      <c r="F27" s="258">
        <f t="shared" ca="1" si="6"/>
        <v>3242.92</v>
      </c>
      <c r="G27" s="258">
        <f ca="1">IF($B27="",0,MIN(VLOOKUP($C27,'Premiums Rates'!$AK$32:$AM$36,3,1)*(1+'Premiums Rates'!$AU$7)^($B27-1)+IF(OR(Premium!$C$9="Joint",Premium!$C$9="Individual Plus Additional Insured"),VLOOKUP($D27,'Premiums Rates'!$AK$32:$AM$36,3,1)*(1+'Premiums Rates'!$AU$7)^($B27-1)),F27))</f>
        <v>3242.92</v>
      </c>
      <c r="H27" s="258">
        <f>IF($C27="",0,IF('Premiums Rates'!$AL$6="None",0,IF('Premiums Rates'!$AL$6="C-Corp",$F27*'Premiums Rates'!$AL$5,$G27*'Premiums Rates'!$AL$5)))</f>
        <v>0</v>
      </c>
      <c r="I27" s="258">
        <f t="shared" ca="1" si="7"/>
        <v>3242.92</v>
      </c>
      <c r="J27" s="259">
        <f>IF($B27="","",ROUND('Premiums Rates'!$J$94*(1+Premium!$C$21)^($B27-1),2))</f>
        <v>296.04000000000002</v>
      </c>
      <c r="K27" s="260">
        <f>IF($C27="","",IF(AND($B27&gt;='Premiums Rates'!$AL$4,$B27&lt;='Premiums Rates'!$AL$28),$J27*365,0))</f>
        <v>0</v>
      </c>
      <c r="L27" s="260">
        <f>IF($C27="","",IF(OR(Premium!$C$9="Joint",Premium!$C$9="Individual Plus Additional Insured"),$K27,0))</f>
        <v>0</v>
      </c>
      <c r="M27" s="260">
        <f>IF($B27="","",IF(OR(Premium!$C$19="No",Premium!$C$18="Lifetime"),0,IF(AND($B27&gt;='Premiums Rates'!$AL$4+VALUE(LEFT(Premium!$C$18,1)),$B27&lt;('Premiums Rates'!$AL$4+2*VALUE(LEFT(Premium!$C$18,1))),OR(Premium!$C$9="Joint",Premium!$C$9="Individual Plus Additional Insured"),Premium!$C$19="Yes"),$J27*365,0)))</f>
        <v>0</v>
      </c>
      <c r="N27" s="260">
        <f>IF($B27="","",IF(OR(Premium!$C$9="Joint",Premium!$C$9="Individual Plus Additional Insured"),K27+L27+M27,K27+M27))</f>
        <v>0</v>
      </c>
      <c r="O27" s="260">
        <f>IF($C27="","",IF(Premium!$C$28="None",0,IF(LEFT(Premium!$C$28,4)="FROP",SUM($E$4:$E27),MAX(0,SUM($E$4:$E27)-SUM($N$4:$N26)))))</f>
        <v>0</v>
      </c>
      <c r="P27" s="260">
        <f>IF($B27="","",IF(RIGHT(Premium!$C$28,1)="S",MAX(0,0.8*SUM($E$4:$E27)-SUM($N$4:$N26)),0))</f>
        <v>0</v>
      </c>
      <c r="Q27" s="260">
        <f t="shared" ca="1" si="8"/>
        <v>-3242.92</v>
      </c>
      <c r="S27" s="261"/>
      <c r="T27" s="261"/>
    </row>
    <row r="28" spans="1:20">
      <c r="A28" s="264"/>
      <c r="B28" s="257">
        <f t="shared" si="9"/>
        <v>25</v>
      </c>
      <c r="C28" s="257">
        <f>IF(OR(C27="",C27=(Premium!$G$8-1)),"",$C27+1)</f>
        <v>79</v>
      </c>
      <c r="D28" s="257">
        <f>IF(OR(C28="",$D27=Premium!$G$8,$D27=""),"",$D27+1)</f>
        <v>79</v>
      </c>
      <c r="E28" s="258">
        <f ca="1">IF($B28="","",IF(Premium!$C$24&lt;&gt;"Lifetime Pay",0,IF($B28&lt;='Premiums Rates'!$AL$27,$E27+IF(Premium!$D$31="N/A",0,Premium!$D$31*VLOOKUP(Premium!$C$25,'Premiums Rates'!$O$111:$P$114,2,0)),0)))</f>
        <v>3242.92</v>
      </c>
      <c r="F28" s="258">
        <f t="shared" ca="1" si="6"/>
        <v>3242.92</v>
      </c>
      <c r="G28" s="258">
        <f ca="1">IF($B28="",0,MIN(VLOOKUP($C28,'Premiums Rates'!$AK$32:$AM$36,3,1)*(1+'Premiums Rates'!$AU$7)^($B28-1)+IF(OR(Premium!$C$9="Joint",Premium!$C$9="Individual Plus Additional Insured"),VLOOKUP($D28,'Premiums Rates'!$AK$32:$AM$36,3,1)*(1+'Premiums Rates'!$AU$7)^($B28-1)),F28))</f>
        <v>3242.92</v>
      </c>
      <c r="H28" s="258">
        <f>IF($C28="",0,IF('Premiums Rates'!$AL$6="None",0,IF('Premiums Rates'!$AL$6="C-Corp",$F28*'Premiums Rates'!$AL$5,$G28*'Premiums Rates'!$AL$5)))</f>
        <v>0</v>
      </c>
      <c r="I28" s="258">
        <f t="shared" ca="1" si="7"/>
        <v>3242.92</v>
      </c>
      <c r="J28" s="259">
        <f>IF($B28="","",ROUND('Premiums Rates'!$J$94*(1+Premium!$C$21)^($B28-1),2))</f>
        <v>304.92</v>
      </c>
      <c r="K28" s="260">
        <f>IF($C28="","",IF(AND($B28&gt;='Premiums Rates'!$AL$4,$B28&lt;='Premiums Rates'!$AL$28),$J28*365,0))</f>
        <v>0</v>
      </c>
      <c r="L28" s="260">
        <f>IF($C28="","",IF(OR(Premium!$C$9="Joint",Premium!$C$9="Individual Plus Additional Insured"),$K28,0))</f>
        <v>0</v>
      </c>
      <c r="M28" s="260">
        <f>IF($B28="","",IF(OR(Premium!$C$19="No",Premium!$C$18="Lifetime"),0,IF(AND($B28&gt;='Premiums Rates'!$AL$4+VALUE(LEFT(Premium!$C$18,1)),$B28&lt;('Premiums Rates'!$AL$4+2*VALUE(LEFT(Premium!$C$18,1))),OR(Premium!$C$9="Joint",Premium!$C$9="Individual Plus Additional Insured"),Premium!$C$19="Yes"),$J28*365,0)))</f>
        <v>0</v>
      </c>
      <c r="N28" s="260">
        <f>IF($B28="","",IF(OR(Premium!$C$9="Joint",Premium!$C$9="Individual Plus Additional Insured"),K28+L28+M28,K28+M28))</f>
        <v>0</v>
      </c>
      <c r="O28" s="260">
        <f>IF($C28="","",IF(Premium!$C$28="None",0,IF(LEFT(Premium!$C$28,4)="FROP",SUM($E$4:$E28),MAX(0,SUM($E$4:$E28)-SUM($N$4:$N27)))))</f>
        <v>0</v>
      </c>
      <c r="P28" s="260">
        <f>IF($B28="","",IF(RIGHT(Premium!$C$28,1)="S",MAX(0,0.8*SUM($E$4:$E28)-SUM($N$4:$N27)),0))</f>
        <v>0</v>
      </c>
      <c r="Q28" s="260">
        <f t="shared" ca="1" si="8"/>
        <v>-3242.92</v>
      </c>
      <c r="S28" s="261"/>
      <c r="T28" s="261"/>
    </row>
    <row r="29" spans="1:20">
      <c r="A29" s="264"/>
      <c r="B29" s="257">
        <f t="shared" si="9"/>
        <v>26</v>
      </c>
      <c r="C29" s="257">
        <f>IF(OR(C28="",C28=(Premium!$G$8-1)),"",$C28+1)</f>
        <v>80</v>
      </c>
      <c r="D29" s="257">
        <f>IF(OR(C29="",$D28=Premium!$G$8,$D28=""),"",$D28+1)</f>
        <v>80</v>
      </c>
      <c r="E29" s="258">
        <f>IF($B29="","",IF(Premium!$C$24&lt;&gt;"Lifetime Pay",0,IF($B29&lt;='Premiums Rates'!$AL$27,$E28+IF(Premium!$D$31="N/A",0,Premium!$D$31*VLOOKUP(Premium!$C$25,'Premiums Rates'!$O$111:$P$114,2,0)),0)))</f>
        <v>0</v>
      </c>
      <c r="F29" s="258">
        <f t="shared" si="6"/>
        <v>0</v>
      </c>
      <c r="G29" s="258">
        <f>IF($B29="",0,MIN(VLOOKUP($C29,'Premiums Rates'!$AK$32:$AM$36,3,1)*(1+'Premiums Rates'!$AU$7)^($B29-1)+IF(OR(Premium!$C$9="Joint",Premium!$C$9="Individual Plus Additional Insured"),VLOOKUP($D29,'Premiums Rates'!$AK$32:$AM$36,3,1)*(1+'Premiums Rates'!$AU$7)^($B29-1)),F29))</f>
        <v>0</v>
      </c>
      <c r="H29" s="258">
        <f>IF($C29="",0,IF('Premiums Rates'!$AL$6="None",0,IF('Premiums Rates'!$AL$6="C-Corp",$F29*'Premiums Rates'!$AL$5,$G29*'Premiums Rates'!$AL$5)))</f>
        <v>0</v>
      </c>
      <c r="I29" s="258">
        <f t="shared" si="7"/>
        <v>0</v>
      </c>
      <c r="J29" s="259">
        <f>IF($B29="","",ROUND('Premiums Rates'!$J$94*(1+Premium!$C$21)^($B29-1),2))</f>
        <v>314.07</v>
      </c>
      <c r="K29" s="260">
        <f>IF($C29="","",IF(AND($B29&gt;='Premiums Rates'!$AL$4,$B29&lt;='Premiums Rates'!$AL$28),$J29*365,0))</f>
        <v>114635.55</v>
      </c>
      <c r="L29" s="260">
        <f>IF($C29="","",IF(OR(Premium!$C$9="Joint",Premium!$C$9="Individual Plus Additional Insured"),$K29,0))</f>
        <v>114635.55</v>
      </c>
      <c r="M29" s="260">
        <f>IF($B29="","",IF(OR(Premium!$C$19="No",Premium!$C$18="Lifetime"),0,IF(AND($B29&gt;='Premiums Rates'!$AL$4+VALUE(LEFT(Premium!$C$18,1)),$B29&lt;('Premiums Rates'!$AL$4+2*VALUE(LEFT(Premium!$C$18,1))),OR(Premium!$C$9="Joint",Premium!$C$9="Individual Plus Additional Insured"),Premium!$C$19="Yes"),$J29*365,0)))</f>
        <v>0</v>
      </c>
      <c r="N29" s="260">
        <f>IF($B29="","",IF(OR(Premium!$C$9="Joint",Premium!$C$9="Individual Plus Additional Insured"),K29+L29+M29,K29+M29))</f>
        <v>229271.1</v>
      </c>
      <c r="O29" s="260">
        <f>IF($C29="","",IF(Premium!$C$28="None",0,IF(LEFT(Premium!$C$28,4)="FROP",SUM($E$4:$E29),MAX(0,SUM($E$4:$E29)-SUM($N$4:$N28)))))</f>
        <v>0</v>
      </c>
      <c r="P29" s="260">
        <f>IF($B29="","",IF(RIGHT(Premium!$C$28,1)="S",MAX(0,0.8*SUM($E$4:$E29)-SUM($N$4:$N28)),0))</f>
        <v>0</v>
      </c>
      <c r="Q29" s="260">
        <f t="shared" si="8"/>
        <v>229271.1</v>
      </c>
      <c r="S29" s="261"/>
      <c r="T29" s="261"/>
    </row>
    <row r="30" spans="1:20">
      <c r="A30" s="264"/>
      <c r="B30" s="257">
        <f t="shared" si="9"/>
        <v>27</v>
      </c>
      <c r="C30" s="257">
        <f>IF(OR(C29="",C29=(Premium!$G$8-1)),"",$C29+1)</f>
        <v>81</v>
      </c>
      <c r="D30" s="257">
        <f>IF(OR(C30="",$D29=Premium!$G$8,$D29=""),"",$D29+1)</f>
        <v>81</v>
      </c>
      <c r="E30" s="258">
        <f>IF($B30="","",IF(Premium!$C$24&lt;&gt;"Lifetime Pay",0,IF($B30&lt;='Premiums Rates'!$AL$27,$E29+IF(Premium!$D$31="N/A",0,Premium!$D$31*VLOOKUP(Premium!$C$25,'Premiums Rates'!$O$111:$P$114,2,0)),0)))</f>
        <v>0</v>
      </c>
      <c r="F30" s="258">
        <f t="shared" si="6"/>
        <v>0</v>
      </c>
      <c r="G30" s="258">
        <f>IF($B30="",0,MIN(VLOOKUP($C30,'Premiums Rates'!$AK$32:$AM$36,3,1)*(1+'Premiums Rates'!$AU$7)^($B30-1)+IF(OR(Premium!$C$9="Joint",Premium!$C$9="Individual Plus Additional Insured"),VLOOKUP($D30,'Premiums Rates'!$AK$32:$AM$36,3,1)*(1+'Premiums Rates'!$AU$7)^($B30-1)),F30))</f>
        <v>0</v>
      </c>
      <c r="H30" s="258">
        <f>IF($C30="",0,IF('Premiums Rates'!$AL$6="None",0,IF('Premiums Rates'!$AL$6="C-Corp",$F30*'Premiums Rates'!$AL$5,$G30*'Premiums Rates'!$AL$5)))</f>
        <v>0</v>
      </c>
      <c r="I30" s="258">
        <f t="shared" si="7"/>
        <v>0</v>
      </c>
      <c r="J30" s="259">
        <f>IF($B30="","",ROUND('Premiums Rates'!$J$94*(1+Premium!$C$21)^($B30-1),2))</f>
        <v>323.49</v>
      </c>
      <c r="K30" s="260">
        <f>IF($C30="","",IF(AND($B30&gt;='Premiums Rates'!$AL$4,$B30&lt;='Premiums Rates'!$AL$28),$J30*365,0))</f>
        <v>118073.85</v>
      </c>
      <c r="L30" s="260">
        <f>IF($C30="","",IF(OR(Premium!$C$9="Joint",Premium!$C$9="Individual Plus Additional Insured"),$K30,0))</f>
        <v>118073.85</v>
      </c>
      <c r="M30" s="260">
        <f>IF($B30="","",IF(OR(Premium!$C$19="No",Premium!$C$18="Lifetime"),0,IF(AND($B30&gt;='Premiums Rates'!$AL$4+VALUE(LEFT(Premium!$C$18,1)),$B30&lt;('Premiums Rates'!$AL$4+2*VALUE(LEFT(Premium!$C$18,1))),OR(Premium!$C$9="Joint",Premium!$C$9="Individual Plus Additional Insured"),Premium!$C$19="Yes"),$J30*365,0)))</f>
        <v>0</v>
      </c>
      <c r="N30" s="260">
        <f>IF($B30="","",IF(OR(Premium!$C$9="Joint",Premium!$C$9="Individual Plus Additional Insured"),K30+L30+M30,K30+M30))</f>
        <v>236147.7</v>
      </c>
      <c r="O30" s="260">
        <f>IF($C30="","",IF(Premium!$C$28="None",0,IF(LEFT(Premium!$C$28,4)="FROP",SUM($E$4:$E30),MAX(0,SUM($E$4:$E30)-SUM($N$4:$N29)))))</f>
        <v>0</v>
      </c>
      <c r="P30" s="260">
        <f>IF($B30="","",IF(RIGHT(Premium!$C$28,1)="S",MAX(0,0.8*SUM($E$4:$E30)-SUM($N$4:$N29)),0))</f>
        <v>0</v>
      </c>
      <c r="Q30" s="260">
        <f t="shared" si="8"/>
        <v>236147.7</v>
      </c>
      <c r="S30" s="261"/>
      <c r="T30" s="261"/>
    </row>
    <row r="31" spans="1:20">
      <c r="A31" s="265"/>
      <c r="B31" s="257">
        <f t="shared" si="9"/>
        <v>28</v>
      </c>
      <c r="C31" s="257">
        <f>IF(OR(C30="",C30=(Premium!$G$8-1)),"",$C30+1)</f>
        <v>82</v>
      </c>
      <c r="D31" s="257">
        <f>IF(OR(C31="",$D30=Premium!$G$8,$D30=""),"",$D30+1)</f>
        <v>82</v>
      </c>
      <c r="E31" s="258">
        <f>IF($B31="","",IF(Premium!$C$24&lt;&gt;"Lifetime Pay",0,IF($B31&lt;='Premiums Rates'!$AL$27,$E30+IF(Premium!$D$31="N/A",0,Premium!$D$31*VLOOKUP(Premium!$C$25,'Premiums Rates'!$O$111:$P$114,2,0)),0)))</f>
        <v>0</v>
      </c>
      <c r="F31" s="258">
        <f t="shared" si="6"/>
        <v>0</v>
      </c>
      <c r="G31" s="258">
        <f>IF($B31="",0,MIN(VLOOKUP($C31,'Premiums Rates'!$AK$32:$AM$36,3,1)*(1+'Premiums Rates'!$AU$7)^($B31-1)+IF(OR(Premium!$C$9="Joint",Premium!$C$9="Individual Plus Additional Insured"),VLOOKUP($D31,'Premiums Rates'!$AK$32:$AM$36,3,1)*(1+'Premiums Rates'!$AU$7)^($B31-1)),F31))</f>
        <v>0</v>
      </c>
      <c r="H31" s="258">
        <f>IF($C31="",0,IF('Premiums Rates'!$AL$6="None",0,IF('Premiums Rates'!$AL$6="C-Corp",$F31*'Premiums Rates'!$AL$5,$G31*'Premiums Rates'!$AL$5)))</f>
        <v>0</v>
      </c>
      <c r="I31" s="258">
        <f t="shared" si="7"/>
        <v>0</v>
      </c>
      <c r="J31" s="259">
        <f>IF($B31="","",ROUND('Premiums Rates'!$J$94*(1+Premium!$C$21)^($B31-1),2))</f>
        <v>333.19</v>
      </c>
      <c r="K31" s="260">
        <f>IF($C31="","",IF(AND($B31&gt;='Premiums Rates'!$AL$4,$B31&lt;='Premiums Rates'!$AL$28),$J31*365,0))</f>
        <v>121614.35</v>
      </c>
      <c r="L31" s="260">
        <f>IF($C31="","",IF(OR(Premium!$C$9="Joint",Premium!$C$9="Individual Plus Additional Insured"),$K31,0))</f>
        <v>121614.35</v>
      </c>
      <c r="M31" s="260">
        <f>IF($B31="","",IF(OR(Premium!$C$19="No",Premium!$C$18="Lifetime"),0,IF(AND($B31&gt;='Premiums Rates'!$AL$4+VALUE(LEFT(Premium!$C$18,1)),$B31&lt;('Premiums Rates'!$AL$4+2*VALUE(LEFT(Premium!$C$18,1))),OR(Premium!$C$9="Joint",Premium!$C$9="Individual Plus Additional Insured"),Premium!$C$19="Yes"),$J31*365,0)))</f>
        <v>0</v>
      </c>
      <c r="N31" s="260">
        <f>IF($B31="","",IF(OR(Premium!$C$9="Joint",Premium!$C$9="Individual Plus Additional Insured"),K31+L31+M31,K31+M31))</f>
        <v>243228.7</v>
      </c>
      <c r="O31" s="260">
        <f>IF($C31="","",IF(Premium!$C$28="None",0,IF(LEFT(Premium!$C$28,4)="FROP",SUM($E$4:$E31),MAX(0,SUM($E$4:$E31)-SUM($N$4:$N30)))))</f>
        <v>0</v>
      </c>
      <c r="P31" s="260">
        <f>IF($B31="","",IF(RIGHT(Premium!$C$28,1)="S",MAX(0,0.8*SUM($E$4:$E31)-SUM($N$4:$N30)),0))</f>
        <v>0</v>
      </c>
      <c r="Q31" s="260">
        <f t="shared" si="8"/>
        <v>243228.7</v>
      </c>
      <c r="S31" s="261"/>
      <c r="T31" s="261"/>
    </row>
    <row r="32" spans="1:20">
      <c r="A32" s="185"/>
      <c r="B32" s="257">
        <f t="shared" si="9"/>
        <v>29</v>
      </c>
      <c r="C32" s="257">
        <f>IF(OR(C31="",C31=(Premium!$G$8-1)),"",$C31+1)</f>
        <v>83</v>
      </c>
      <c r="D32" s="257">
        <f>IF(OR(C32="",$D31=Premium!$G$8,$D31=""),"",$D31+1)</f>
        <v>83</v>
      </c>
      <c r="E32" s="258">
        <f>IF($B32="","",IF(Premium!$C$24&lt;&gt;"Lifetime Pay",0,IF($B32&lt;='Premiums Rates'!$AL$27,$E31+IF(Premium!$D$31="N/A",0,Premium!$D$31*VLOOKUP(Premium!$C$25,'Premiums Rates'!$O$111:$P$114,2,0)),0)))</f>
        <v>0</v>
      </c>
      <c r="F32" s="258">
        <f t="shared" si="6"/>
        <v>0</v>
      </c>
      <c r="G32" s="258">
        <f>IF($B32="",0,MIN(VLOOKUP($C32,'Premiums Rates'!$AK$32:$AM$36,3,1)*(1+'Premiums Rates'!$AU$7)^($B32-1)+IF(OR(Premium!$C$9="Joint",Premium!$C$9="Individual Plus Additional Insured"),VLOOKUP($D32,'Premiums Rates'!$AK$32:$AM$36,3,1)*(1+'Premiums Rates'!$AU$7)^($B32-1)),F32))</f>
        <v>0</v>
      </c>
      <c r="H32" s="258">
        <f>IF($C32="",0,IF('Premiums Rates'!$AL$6="None",0,IF('Premiums Rates'!$AL$6="C-Corp",$F32*'Premiums Rates'!$AL$5,$G32*'Premiums Rates'!$AL$5)))</f>
        <v>0</v>
      </c>
      <c r="I32" s="258">
        <f t="shared" si="7"/>
        <v>0</v>
      </c>
      <c r="J32" s="259">
        <f>IF($B32="","",ROUND('Premiums Rates'!$J$94*(1+Premium!$C$21)^($B32-1),2))</f>
        <v>343.19</v>
      </c>
      <c r="K32" s="260">
        <f>IF($C32="","",IF(AND($B32&gt;='Premiums Rates'!$AL$4,$B32&lt;='Premiums Rates'!$AL$28),$J32*365,0))</f>
        <v>125264.35</v>
      </c>
      <c r="L32" s="260">
        <f>IF($C32="","",IF(OR(Premium!$C$9="Joint",Premium!$C$9="Individual Plus Additional Insured"),$K32,0))</f>
        <v>125264.35</v>
      </c>
      <c r="M32" s="260">
        <f>IF($B32="","",IF(OR(Premium!$C$19="No",Premium!$C$18="Lifetime"),0,IF(AND($B32&gt;='Premiums Rates'!$AL$4+VALUE(LEFT(Premium!$C$18,1)),$B32&lt;('Premiums Rates'!$AL$4+2*VALUE(LEFT(Premium!$C$18,1))),OR(Premium!$C$9="Joint",Premium!$C$9="Individual Plus Additional Insured"),Premium!$C$19="Yes"),$J32*365,0)))</f>
        <v>0</v>
      </c>
      <c r="N32" s="260">
        <f>IF($B32="","",IF(OR(Premium!$C$9="Joint",Premium!$C$9="Individual Plus Additional Insured"),K32+L32+M32,K32+M32))</f>
        <v>250528.7</v>
      </c>
      <c r="O32" s="260">
        <f>IF($C32="","",IF(Premium!$C$28="None",0,IF(LEFT(Premium!$C$28,4)="FROP",SUM($E$4:$E32),MAX(0,SUM($E$4:$E32)-SUM($N$4:$N31)))))</f>
        <v>0</v>
      </c>
      <c r="P32" s="260">
        <f>IF($B32="","",IF(RIGHT(Premium!$C$28,1)="S",MAX(0,0.8*SUM($E$4:$E32)-SUM($N$4:$N31)),0))</f>
        <v>0</v>
      </c>
      <c r="Q32" s="260">
        <f t="shared" si="8"/>
        <v>250528.7</v>
      </c>
      <c r="S32" s="261"/>
      <c r="T32" s="261"/>
    </row>
    <row r="33" spans="1:20">
      <c r="A33" s="186"/>
      <c r="B33" s="257">
        <f t="shared" si="9"/>
        <v>30</v>
      </c>
      <c r="C33" s="257">
        <f>IF(OR(C32="",C32=(Premium!$G$8-1)),"",$C32+1)</f>
        <v>84</v>
      </c>
      <c r="D33" s="257">
        <f>IF(OR(C33="",$D32=Premium!$G$8,$D32=""),"",$D32+1)</f>
        <v>84</v>
      </c>
      <c r="E33" s="258">
        <f>IF($B33="","",IF(Premium!$C$24&lt;&gt;"Lifetime Pay",0,IF($B33&lt;='Premiums Rates'!$AL$27,$E32+IF(Premium!$D$31="N/A",0,Premium!$D$31*VLOOKUP(Premium!$C$25,'Premiums Rates'!$O$111:$P$114,2,0)),0)))</f>
        <v>0</v>
      </c>
      <c r="F33" s="258">
        <f t="shared" si="6"/>
        <v>0</v>
      </c>
      <c r="G33" s="258">
        <f>IF($B33="",0,MIN(VLOOKUP($C33,'Premiums Rates'!$AK$32:$AM$36,3,1)*(1+'Premiums Rates'!$AU$7)^($B33-1)+IF(OR(Premium!$C$9="Joint",Premium!$C$9="Individual Plus Additional Insured"),VLOOKUP($D33,'Premiums Rates'!$AK$32:$AM$36,3,1)*(1+'Premiums Rates'!$AU$7)^($B33-1)),F33))</f>
        <v>0</v>
      </c>
      <c r="H33" s="258">
        <f>IF($C33="",0,IF('Premiums Rates'!$AL$6="None",0,IF('Premiums Rates'!$AL$6="C-Corp",$F33*'Premiums Rates'!$AL$5,$G33*'Premiums Rates'!$AL$5)))</f>
        <v>0</v>
      </c>
      <c r="I33" s="258">
        <f t="shared" si="7"/>
        <v>0</v>
      </c>
      <c r="J33" s="259">
        <f>IF($B33="","",ROUND('Premiums Rates'!$J$94*(1+Premium!$C$21)^($B33-1),2))</f>
        <v>353.48</v>
      </c>
      <c r="K33" s="260">
        <f>IF($C33="","",IF(AND($B33&gt;='Premiums Rates'!$AL$4,$B33&lt;='Premiums Rates'!$AL$28),$J33*365,0))</f>
        <v>129020.20000000001</v>
      </c>
      <c r="L33" s="260">
        <f>IF($C33="","",IF(OR(Premium!$C$9="Joint",Premium!$C$9="Individual Plus Additional Insured"),$K33,0))</f>
        <v>129020.20000000001</v>
      </c>
      <c r="M33" s="260">
        <f>IF($B33="","",IF(OR(Premium!$C$19="No",Premium!$C$18="Lifetime"),0,IF(AND($B33&gt;='Premiums Rates'!$AL$4+VALUE(LEFT(Premium!$C$18,1)),$B33&lt;('Premiums Rates'!$AL$4+2*VALUE(LEFT(Premium!$C$18,1))),OR(Premium!$C$9="Joint",Premium!$C$9="Individual Plus Additional Insured"),Premium!$C$19="Yes"),$J33*365,0)))</f>
        <v>0</v>
      </c>
      <c r="N33" s="260">
        <f>IF($B33="","",IF(OR(Premium!$C$9="Joint",Premium!$C$9="Individual Plus Additional Insured"),K33+L33+M33,K33+M33))</f>
        <v>258040.40000000002</v>
      </c>
      <c r="O33" s="260">
        <f>IF($C33="","",IF(Premium!$C$28="None",0,IF(LEFT(Premium!$C$28,4)="FROP",SUM($E$4:$E33),MAX(0,SUM($E$4:$E33)-SUM($N$4:$N32)))))</f>
        <v>0</v>
      </c>
      <c r="P33" s="260">
        <f>IF($B33="","",IF(RIGHT(Premium!$C$28,1)="S",MAX(0,0.8*SUM($E$4:$E33)-SUM($N$4:$N32)),0))</f>
        <v>0</v>
      </c>
      <c r="Q33" s="260">
        <f t="shared" si="8"/>
        <v>258040.40000000002</v>
      </c>
      <c r="S33" s="261"/>
      <c r="T33" s="261"/>
    </row>
    <row r="34" spans="1:20">
      <c r="A34" s="186"/>
      <c r="B34" s="257">
        <f t="shared" si="9"/>
        <v>31</v>
      </c>
      <c r="C34" s="257">
        <f>IF(OR(C33="",C33=(Premium!$G$8-1)),"",$C33+1)</f>
        <v>85</v>
      </c>
      <c r="D34" s="257">
        <f>IF(OR(C34="",$D33=Premium!$G$8,$D33=""),"",$D33+1)</f>
        <v>85</v>
      </c>
      <c r="E34" s="258">
        <f>IF($B34="","",IF(Premium!$C$24&lt;&gt;"Lifetime Pay",0,IF($B34&lt;='Premiums Rates'!$AL$27,$E33+IF(Premium!$D$31="N/A",0,Premium!$D$31*VLOOKUP(Premium!$C$25,'Premiums Rates'!$O$111:$P$114,2,0)),0)))</f>
        <v>0</v>
      </c>
      <c r="F34" s="258">
        <f t="shared" si="6"/>
        <v>0</v>
      </c>
      <c r="G34" s="258">
        <f>IF($B34="",0,MIN(VLOOKUP($C34,'Premiums Rates'!$AK$32:$AM$36,3,1)*(1+'Premiums Rates'!$AU$7)^($B34-1)+IF(OR(Premium!$C$9="Joint",Premium!$C$9="Individual Plus Additional Insured"),VLOOKUP($D34,'Premiums Rates'!$AK$32:$AM$36,3,1)*(1+'Premiums Rates'!$AU$7)^($B34-1)),F34))</f>
        <v>0</v>
      </c>
      <c r="H34" s="258">
        <f>IF($C34="",0,IF('Premiums Rates'!$AL$6="None",0,IF('Premiums Rates'!$AL$6="C-Corp",$F34*'Premiums Rates'!$AL$5,$G34*'Premiums Rates'!$AL$5)))</f>
        <v>0</v>
      </c>
      <c r="I34" s="258">
        <f t="shared" si="7"/>
        <v>0</v>
      </c>
      <c r="J34" s="259">
        <f>IF($B34="","",ROUND('Premiums Rates'!$J$94*(1+Premium!$C$21)^($B34-1),2))</f>
        <v>364.09</v>
      </c>
      <c r="K34" s="260">
        <f>IF($C34="","",IF(AND($B34&gt;='Premiums Rates'!$AL$4,$B34&lt;='Premiums Rates'!$AL$28),$J34*365,0))</f>
        <v>0</v>
      </c>
      <c r="L34" s="260">
        <f>IF($C34="","",IF(OR(Premium!$C$9="Joint",Premium!$C$9="Individual Plus Additional Insured"),$K34,0))</f>
        <v>0</v>
      </c>
      <c r="M34" s="260">
        <f>IF($B34="","",IF(OR(Premium!$C$19="No",Premium!$C$18="Lifetime"),0,IF(AND($B34&gt;='Premiums Rates'!$AL$4+VALUE(LEFT(Premium!$C$18,1)),$B34&lt;('Premiums Rates'!$AL$4+2*VALUE(LEFT(Premium!$C$18,1))),OR(Premium!$C$9="Joint",Premium!$C$9="Individual Plus Additional Insured"),Premium!$C$19="Yes"),$J34*365,0)))</f>
        <v>132892.84999999998</v>
      </c>
      <c r="N34" s="260">
        <f>IF($B34="","",IF(OR(Premium!$C$9="Joint",Premium!$C$9="Individual Plus Additional Insured"),K34+L34+M34,K34+M34))</f>
        <v>132892.84999999998</v>
      </c>
      <c r="O34" s="260">
        <f>IF($C34="","",IF(Premium!$C$28="None",0,IF(LEFT(Premium!$C$28,4)="FROP",SUM($E$4:$E34),MAX(0,SUM($E$4:$E34)-SUM($N$4:$N33)))))</f>
        <v>0</v>
      </c>
      <c r="P34" s="260">
        <f>IF($B34="","",IF(RIGHT(Premium!$C$28,1)="S",MAX(0,0.8*SUM($E$4:$E34)-SUM($N$4:$N33)),0))</f>
        <v>0</v>
      </c>
      <c r="Q34" s="260">
        <f t="shared" si="8"/>
        <v>132892.84999999998</v>
      </c>
      <c r="S34" s="261"/>
      <c r="T34" s="261"/>
    </row>
    <row r="35" spans="1:20">
      <c r="A35" s="186"/>
      <c r="B35" s="257">
        <f t="shared" si="9"/>
        <v>32</v>
      </c>
      <c r="C35" s="257">
        <f>IF(OR(C34="",C34=(Premium!$G$8-1)),"",$C34+1)</f>
        <v>86</v>
      </c>
      <c r="D35" s="257">
        <f>IF(OR(C35="",$D34=Premium!$G$8,$D34=""),"",$D34+1)</f>
        <v>86</v>
      </c>
      <c r="E35" s="258">
        <f>IF($B35="","",IF(Premium!$C$24&lt;&gt;"Lifetime Pay",0,IF($B35&lt;='Premiums Rates'!$AL$27,$E34+IF(Premium!$D$31="N/A",0,Premium!$D$31*VLOOKUP(Premium!$C$25,'Premiums Rates'!$O$111:$P$114,2,0)),0)))</f>
        <v>0</v>
      </c>
      <c r="F35" s="258">
        <f t="shared" si="6"/>
        <v>0</v>
      </c>
      <c r="G35" s="258">
        <f>IF($B35="",0,MIN(VLOOKUP($C35,'Premiums Rates'!$AK$32:$AM$36,3,1)*(1+'Premiums Rates'!$AU$7)^($B35-1)+IF(OR(Premium!$C$9="Joint",Premium!$C$9="Individual Plus Additional Insured"),VLOOKUP($D35,'Premiums Rates'!$AK$32:$AM$36,3,1)*(1+'Premiums Rates'!$AU$7)^($B35-1)),F35))</f>
        <v>0</v>
      </c>
      <c r="H35" s="258">
        <f>IF($C35="",0,IF('Premiums Rates'!$AL$6="None",0,IF('Premiums Rates'!$AL$6="C-Corp",$F35*'Premiums Rates'!$AL$5,$G35*'Premiums Rates'!$AL$5)))</f>
        <v>0</v>
      </c>
      <c r="I35" s="258">
        <f t="shared" si="7"/>
        <v>0</v>
      </c>
      <c r="J35" s="259">
        <f>IF($B35="","",ROUND('Premiums Rates'!$J$94*(1+Premium!$C$21)^($B35-1),2))</f>
        <v>375.01</v>
      </c>
      <c r="K35" s="260">
        <f>IF($C35="","",IF(AND($B35&gt;='Premiums Rates'!$AL$4,$B35&lt;='Premiums Rates'!$AL$28),$J35*365,0))</f>
        <v>0</v>
      </c>
      <c r="L35" s="260">
        <f>IF($C35="","",IF(OR(Premium!$C$9="Joint",Premium!$C$9="Individual Plus Additional Insured"),$K35,0))</f>
        <v>0</v>
      </c>
      <c r="M35" s="260">
        <f>IF($B35="","",IF(OR(Premium!$C$19="No",Premium!$C$18="Lifetime"),0,IF(AND($B35&gt;='Premiums Rates'!$AL$4+VALUE(LEFT(Premium!$C$18,1)),$B35&lt;('Premiums Rates'!$AL$4+2*VALUE(LEFT(Premium!$C$18,1))),OR(Premium!$C$9="Joint",Premium!$C$9="Individual Plus Additional Insured"),Premium!$C$19="Yes"),$J35*365,0)))</f>
        <v>136878.65</v>
      </c>
      <c r="N35" s="260">
        <f>IF($B35="","",IF(OR(Premium!$C$9="Joint",Premium!$C$9="Individual Plus Additional Insured"),K35+L35+M35,K35+M35))</f>
        <v>136878.65</v>
      </c>
      <c r="O35" s="260">
        <f>IF($C35="","",IF(Premium!$C$28="None",0,IF(LEFT(Premium!$C$28,4)="FROP",SUM($E$4:$E35),MAX(0,SUM($E$4:$E35)-SUM($N$4:$N34)))))</f>
        <v>0</v>
      </c>
      <c r="P35" s="260">
        <f>IF($B35="","",IF(RIGHT(Premium!$C$28,1)="S",MAX(0,0.8*SUM($E$4:$E35)-SUM($N$4:$N34)),0))</f>
        <v>0</v>
      </c>
      <c r="Q35" s="260">
        <f t="shared" si="8"/>
        <v>136878.65</v>
      </c>
      <c r="S35" s="261"/>
      <c r="T35" s="261"/>
    </row>
    <row r="36" spans="1:20">
      <c r="A36" s="186"/>
      <c r="B36" s="257">
        <f t="shared" si="9"/>
        <v>33</v>
      </c>
      <c r="C36" s="257">
        <f>IF(OR(C35="",C35=(Premium!$G$8-1)),"",$C35+1)</f>
        <v>87</v>
      </c>
      <c r="D36" s="257">
        <f>IF(OR(C36="",$D35=Premium!$G$8,$D35=""),"",$D35+1)</f>
        <v>87</v>
      </c>
      <c r="E36" s="258">
        <f>IF($B36="","",IF(Premium!$C$24&lt;&gt;"Lifetime Pay",0,IF($B36&lt;='Premiums Rates'!$AL$27,$E35+IF(Premium!$D$31="N/A",0,Premium!$D$31*VLOOKUP(Premium!$C$25,'Premiums Rates'!$O$111:$P$114,2,0)),0)))</f>
        <v>0</v>
      </c>
      <c r="F36" s="258">
        <f t="shared" si="6"/>
        <v>0</v>
      </c>
      <c r="G36" s="258">
        <f>IF($B36="",0,MIN(VLOOKUP($C36,'Premiums Rates'!$AK$32:$AM$36,3,1)*(1+'Premiums Rates'!$AU$7)^($B36-1)+IF(OR(Premium!$C$9="Joint",Premium!$C$9="Individual Plus Additional Insured"),VLOOKUP($D36,'Premiums Rates'!$AK$32:$AM$36,3,1)*(1+'Premiums Rates'!$AU$7)^($B36-1)),F36))</f>
        <v>0</v>
      </c>
      <c r="H36" s="258">
        <f>IF($C36="",0,IF('Premiums Rates'!$AL$6="None",0,IF('Premiums Rates'!$AL$6="C-Corp",$F36*'Premiums Rates'!$AL$5,$G36*'Premiums Rates'!$AL$5)))</f>
        <v>0</v>
      </c>
      <c r="I36" s="258">
        <f t="shared" si="7"/>
        <v>0</v>
      </c>
      <c r="J36" s="259">
        <f>IF($B36="","",ROUND('Premiums Rates'!$J$94*(1+Premium!$C$21)^($B36-1),2))</f>
        <v>386.26</v>
      </c>
      <c r="K36" s="260">
        <f>IF($C36="","",IF(AND($B36&gt;='Premiums Rates'!$AL$4,$B36&lt;='Premiums Rates'!$AL$28),$J36*365,0))</f>
        <v>0</v>
      </c>
      <c r="L36" s="260">
        <f>IF($C36="","",IF(OR(Premium!$C$9="Joint",Premium!$C$9="Individual Plus Additional Insured"),$K36,0))</f>
        <v>0</v>
      </c>
      <c r="M36" s="260">
        <f>IF($B36="","",IF(OR(Premium!$C$19="No",Premium!$C$18="Lifetime"),0,IF(AND($B36&gt;='Premiums Rates'!$AL$4+VALUE(LEFT(Premium!$C$18,1)),$B36&lt;('Premiums Rates'!$AL$4+2*VALUE(LEFT(Premium!$C$18,1))),OR(Premium!$C$9="Joint",Premium!$C$9="Individual Plus Additional Insured"),Premium!$C$19="Yes"),$J36*365,0)))</f>
        <v>140984.9</v>
      </c>
      <c r="N36" s="260">
        <f>IF($B36="","",IF(OR(Premium!$C$9="Joint",Premium!$C$9="Individual Plus Additional Insured"),K36+L36+M36,K36+M36))</f>
        <v>140984.9</v>
      </c>
      <c r="O36" s="260">
        <f>IF($C36="","",IF(Premium!$C$28="None",0,IF(LEFT(Premium!$C$28,4)="FROP",SUM($E$4:$E36),MAX(0,SUM($E$4:$E36)-SUM($N$4:$N35)))))</f>
        <v>0</v>
      </c>
      <c r="P36" s="260">
        <f>IF($B36="","",IF(RIGHT(Premium!$C$28,1)="S",MAX(0,0.8*SUM($E$4:$E36)-SUM($N$4:$N35)),0))</f>
        <v>0</v>
      </c>
      <c r="Q36" s="260">
        <f t="shared" si="8"/>
        <v>140984.9</v>
      </c>
      <c r="T36" s="261"/>
    </row>
    <row r="37" spans="1:20">
      <c r="A37" s="185"/>
      <c r="B37" s="257">
        <f t="shared" si="9"/>
        <v>34</v>
      </c>
      <c r="C37" s="257">
        <f>IF(OR(C36="",C36=(Premium!$G$8-1)),"",$C36+1)</f>
        <v>88</v>
      </c>
      <c r="D37" s="257">
        <f>IF(OR(C37="",$D36=Premium!$G$8,$D36=""),"",$D36+1)</f>
        <v>88</v>
      </c>
      <c r="E37" s="258">
        <f>IF($B37="","",IF(Premium!$C$24&lt;&gt;"Lifetime Pay",0,IF($B37&lt;='Premiums Rates'!$AL$27,$E36+IF(Premium!$D$31="N/A",0,Premium!$D$31*VLOOKUP(Premium!$C$25,'Premiums Rates'!$O$111:$P$114,2,0)),0)))</f>
        <v>0</v>
      </c>
      <c r="F37" s="258">
        <f t="shared" si="6"/>
        <v>0</v>
      </c>
      <c r="G37" s="258">
        <f>IF($B37="",0,MIN(VLOOKUP($C37,'Premiums Rates'!$AK$32:$AM$36,3,1)*(1+'Premiums Rates'!$AU$7)^($B37-1)+IF(OR(Premium!$C$9="Joint",Premium!$C$9="Individual Plus Additional Insured"),VLOOKUP($D37,'Premiums Rates'!$AK$32:$AM$36,3,1)*(1+'Premiums Rates'!$AU$7)^($B37-1)),F37))</f>
        <v>0</v>
      </c>
      <c r="H37" s="258">
        <f>IF($C37="",0,IF('Premiums Rates'!$AL$6="None",0,IF('Premiums Rates'!$AL$6="C-Corp",$F37*'Premiums Rates'!$AL$5,$G37*'Premiums Rates'!$AL$5)))</f>
        <v>0</v>
      </c>
      <c r="I37" s="258">
        <f t="shared" si="7"/>
        <v>0</v>
      </c>
      <c r="J37" s="259">
        <f>IF($B37="","",ROUND('Premiums Rates'!$J$94*(1+Premium!$C$21)^($B37-1),2))</f>
        <v>397.85</v>
      </c>
      <c r="K37" s="260">
        <f>IF($C37="","",IF(AND($B37&gt;='Premiums Rates'!$AL$4,$B37&lt;='Premiums Rates'!$AL$28),$J37*365,0))</f>
        <v>0</v>
      </c>
      <c r="L37" s="260">
        <f>IF($C37="","",IF(OR(Premium!$C$9="Joint",Premium!$C$9="Individual Plus Additional Insured"),$K37,0))</f>
        <v>0</v>
      </c>
      <c r="M37" s="260">
        <f>IF($B37="","",IF(OR(Premium!$C$19="No",Premium!$C$18="Lifetime"),0,IF(AND($B37&gt;='Premiums Rates'!$AL$4+VALUE(LEFT(Premium!$C$18,1)),$B37&lt;('Premiums Rates'!$AL$4+2*VALUE(LEFT(Premium!$C$18,1))),OR(Premium!$C$9="Joint",Premium!$C$9="Individual Plus Additional Insured"),Premium!$C$19="Yes"),$J37*365,0)))</f>
        <v>145215.25</v>
      </c>
      <c r="N37" s="260">
        <f>IF($B37="","",IF(OR(Premium!$C$9="Joint",Premium!$C$9="Individual Plus Additional Insured"),K37+L37+M37,K37+M37))</f>
        <v>145215.25</v>
      </c>
      <c r="O37" s="260">
        <f>IF($C37="","",IF(Premium!$C$28="None",0,IF(LEFT(Premium!$C$28,4)="FROP",SUM($E$4:$E37),MAX(0,SUM($E$4:$E37)-SUM($N$4:$N36)))))</f>
        <v>0</v>
      </c>
      <c r="P37" s="260">
        <f>IF($B37="","",IF(RIGHT(Premium!$C$28,1)="S",MAX(0,0.8*SUM($E$4:$E37)-SUM($N$4:$N36)),0))</f>
        <v>0</v>
      </c>
      <c r="Q37" s="260">
        <f t="shared" si="8"/>
        <v>145215.25</v>
      </c>
    </row>
    <row r="38" spans="1:20">
      <c r="A38" s="262"/>
      <c r="B38" s="257">
        <f t="shared" si="9"/>
        <v>35</v>
      </c>
      <c r="C38" s="257">
        <f>IF(OR(C37="",C37=(Premium!$G$8-1)),"",$C37+1)</f>
        <v>89</v>
      </c>
      <c r="D38" s="257">
        <f>IF(OR(C38="",$D37=Premium!$G$8,$D37=""),"",$D37+1)</f>
        <v>89</v>
      </c>
      <c r="E38" s="258">
        <f>IF($B38="","",IF(Premium!$C$24&lt;&gt;"Lifetime Pay",0,IF($B38&lt;='Premiums Rates'!$AL$27,$E37+IF(Premium!$D$31="N/A",0,Premium!$D$31*VLOOKUP(Premium!$C$25,'Premiums Rates'!$O$111:$P$114,2,0)),0)))</f>
        <v>0</v>
      </c>
      <c r="F38" s="258">
        <f t="shared" si="6"/>
        <v>0</v>
      </c>
      <c r="G38" s="258">
        <f>IF($B38="",0,MIN(VLOOKUP($C38,'Premiums Rates'!$AK$32:$AM$36,3,1)*(1+'Premiums Rates'!$AU$7)^($B38-1)+IF(OR(Premium!$C$9="Joint",Premium!$C$9="Individual Plus Additional Insured"),VLOOKUP($D38,'Premiums Rates'!$AK$32:$AM$36,3,1)*(1+'Premiums Rates'!$AU$7)^($B38-1)),F38))</f>
        <v>0</v>
      </c>
      <c r="H38" s="258">
        <f>IF($C38="",0,IF('Premiums Rates'!$AL$6="None",0,IF('Premiums Rates'!$AL$6="C-Corp",$F38*'Premiums Rates'!$AL$5,$G38*'Premiums Rates'!$AL$5)))</f>
        <v>0</v>
      </c>
      <c r="I38" s="258">
        <f t="shared" si="7"/>
        <v>0</v>
      </c>
      <c r="J38" s="259">
        <f>IF($B38="","",ROUND('Premiums Rates'!$J$94*(1+Premium!$C$21)^($B38-1),2))</f>
        <v>409.79</v>
      </c>
      <c r="K38" s="260">
        <f>IF($C38="","",IF(AND($B38&gt;='Premiums Rates'!$AL$4,$B38&lt;='Premiums Rates'!$AL$28),$J38*365,0))</f>
        <v>0</v>
      </c>
      <c r="L38" s="260">
        <f>IF($C38="","",IF(OR(Premium!$C$9="Joint",Premium!$C$9="Individual Plus Additional Insured"),$K38,0))</f>
        <v>0</v>
      </c>
      <c r="M38" s="260">
        <f>IF($B38="","",IF(OR(Premium!$C$19="No",Premium!$C$18="Lifetime"),0,IF(AND($B38&gt;='Premiums Rates'!$AL$4+VALUE(LEFT(Premium!$C$18,1)),$B38&lt;('Premiums Rates'!$AL$4+2*VALUE(LEFT(Premium!$C$18,1))),OR(Premium!$C$9="Joint",Premium!$C$9="Individual Plus Additional Insured"),Premium!$C$19="Yes"),$J38*365,0)))</f>
        <v>149573.35</v>
      </c>
      <c r="N38" s="260">
        <f>IF($B38="","",IF(OR(Premium!$C$9="Joint",Premium!$C$9="Individual Plus Additional Insured"),K38+L38+M38,K38+M38))</f>
        <v>149573.35</v>
      </c>
      <c r="O38" s="260">
        <f>IF($C38="","",IF(Premium!$C$28="None",0,IF(LEFT(Premium!$C$28,4)="FROP",SUM($E$4:$E38),MAX(0,SUM($E$4:$E38)-SUM($N$4:$N37)))))</f>
        <v>0</v>
      </c>
      <c r="P38" s="260">
        <f>IF($B38="","",IF(RIGHT(Premium!$C$28,1)="S",MAX(0,0.8*SUM($E$4:$E38)-SUM($N$4:$N37)),0))</f>
        <v>0</v>
      </c>
      <c r="Q38" s="260">
        <f t="shared" si="8"/>
        <v>149573.35</v>
      </c>
    </row>
    <row r="39" spans="1:20">
      <c r="A39" s="262"/>
      <c r="B39" s="257">
        <f t="shared" si="9"/>
        <v>36</v>
      </c>
      <c r="C39" s="257">
        <f>IF(OR(C38="",C38=(Premium!$G$8-1)),"",$C38+1)</f>
        <v>90</v>
      </c>
      <c r="D39" s="257">
        <f>IF(OR(C39="",$D38=Premium!$G$8,$D38=""),"",$D38+1)</f>
        <v>90</v>
      </c>
      <c r="E39" s="258">
        <f>IF($B39="","",IF(Premium!$C$24&lt;&gt;"Lifetime Pay",0,IF($B39&lt;='Premiums Rates'!$AL$27,$E38+IF(Premium!$D$31="N/A",0,Premium!$D$31*VLOOKUP(Premium!$C$25,'Premiums Rates'!$O$111:$P$114,2,0)),0)))</f>
        <v>0</v>
      </c>
      <c r="F39" s="258">
        <f t="shared" si="6"/>
        <v>0</v>
      </c>
      <c r="G39" s="258">
        <f>IF($B39="",0,MIN(VLOOKUP($C39,'Premiums Rates'!$AK$32:$AM$36,3,1)*(1+'Premiums Rates'!$AU$7)^($B39-1)+IF(OR(Premium!$C$9="Joint",Premium!$C$9="Individual Plus Additional Insured"),VLOOKUP($D39,'Premiums Rates'!$AK$32:$AM$36,3,1)*(1+'Premiums Rates'!$AU$7)^($B39-1)),F39))</f>
        <v>0</v>
      </c>
      <c r="H39" s="258">
        <f>IF($C39="",0,IF('Premiums Rates'!$AL$6="None",0,IF('Premiums Rates'!$AL$6="C-Corp",$F39*'Premiums Rates'!$AL$5,$G39*'Premiums Rates'!$AL$5)))</f>
        <v>0</v>
      </c>
      <c r="I39" s="258">
        <f t="shared" si="7"/>
        <v>0</v>
      </c>
      <c r="J39" s="259">
        <f>IF($B39="","",ROUND('Premiums Rates'!$J$94*(1+Premium!$C$21)^($B39-1),2))</f>
        <v>422.08</v>
      </c>
      <c r="K39" s="260">
        <f>IF($C39="","",IF(AND($B39&gt;='Premiums Rates'!$AL$4,$B39&lt;='Premiums Rates'!$AL$28),$J39*365,0))</f>
        <v>0</v>
      </c>
      <c r="L39" s="260">
        <f>IF($C39="","",IF(OR(Premium!$C$9="Joint",Premium!$C$9="Individual Plus Additional Insured"),$K39,0))</f>
        <v>0</v>
      </c>
      <c r="M39" s="260">
        <f>IF($B39="","",IF(OR(Premium!$C$19="No",Premium!$C$18="Lifetime"),0,IF(AND($B39&gt;='Premiums Rates'!$AL$4+VALUE(LEFT(Premium!$C$18,1)),$B39&lt;('Premiums Rates'!$AL$4+2*VALUE(LEFT(Premium!$C$18,1))),OR(Premium!$C$9="Joint",Premium!$C$9="Individual Plus Additional Insured"),Premium!$C$19="Yes"),$J39*365,0)))</f>
        <v>0</v>
      </c>
      <c r="N39" s="260">
        <f>IF($B39="","",IF(OR(Premium!$C$9="Joint",Premium!$C$9="Individual Plus Additional Insured"),K39+L39+M39,K39+M39))</f>
        <v>0</v>
      </c>
      <c r="O39" s="260">
        <f>IF($C39="","",IF(Premium!$C$28="None",0,IF(LEFT(Premium!$C$28,4)="FROP",SUM($E$4:$E39),MAX(0,SUM($E$4:$E39)-SUM($N$4:$N38)))))</f>
        <v>0</v>
      </c>
      <c r="P39" s="260">
        <f>IF($B39="","",IF(RIGHT(Premium!$C$28,1)="S",MAX(0,0.8*SUM($E$4:$E39)-SUM($N$4:$N38)),0))</f>
        <v>0</v>
      </c>
      <c r="Q39" s="260">
        <f t="shared" si="8"/>
        <v>0</v>
      </c>
    </row>
    <row r="40" spans="1:20">
      <c r="A40" s="257"/>
      <c r="B40" s="257">
        <f t="shared" si="9"/>
        <v>37</v>
      </c>
      <c r="C40" s="257">
        <f>IF(OR(C39="",C39=(Premium!$G$8-1)),"",$C39+1)</f>
        <v>91</v>
      </c>
      <c r="D40" s="257">
        <f>IF(OR(C40="",$D39=Premium!$G$8,$D39=""),"",$D39+1)</f>
        <v>91</v>
      </c>
      <c r="E40" s="258">
        <f>IF($B40="","",IF(Premium!$C$24&lt;&gt;"Lifetime Pay",0,IF($B40&lt;='Premiums Rates'!$AL$27,$E39+IF(Premium!$D$31="N/A",0,Premium!$D$31*VLOOKUP(Premium!$C$25,'Premiums Rates'!$O$111:$P$114,2,0)),0)))</f>
        <v>0</v>
      </c>
      <c r="F40" s="258">
        <f t="shared" si="6"/>
        <v>0</v>
      </c>
      <c r="G40" s="258">
        <f>IF($B40="",0,MIN(VLOOKUP($C40,'Premiums Rates'!$AK$32:$AM$36,3,1)*(1+'Premiums Rates'!$AU$7)^($B40-1)+IF(OR(Premium!$C$9="Joint",Premium!$C$9="Individual Plus Additional Insured"),VLOOKUP($D40,'Premiums Rates'!$AK$32:$AM$36,3,1)*(1+'Premiums Rates'!$AU$7)^($B40-1)),F40))</f>
        <v>0</v>
      </c>
      <c r="H40" s="258">
        <f>IF($C40="",0,IF('Premiums Rates'!$AL$6="None",0,IF('Premiums Rates'!$AL$6="C-Corp",$F40*'Premiums Rates'!$AL$5,$G40*'Premiums Rates'!$AL$5)))</f>
        <v>0</v>
      </c>
      <c r="I40" s="258">
        <f t="shared" si="7"/>
        <v>0</v>
      </c>
      <c r="J40" s="259">
        <f>IF($B40="","",ROUND('Premiums Rates'!$J$94*(1+Premium!$C$21)^($B40-1),2))</f>
        <v>434.74</v>
      </c>
      <c r="K40" s="260">
        <f>IF($C40="","",IF(AND($B40&gt;='Premiums Rates'!$AL$4,$B40&lt;='Premiums Rates'!$AL$28),$J40*365,0))</f>
        <v>0</v>
      </c>
      <c r="L40" s="260">
        <f>IF($C40="","",IF(OR(Premium!$C$9="Joint",Premium!$C$9="Individual Plus Additional Insured"),$K40,0))</f>
        <v>0</v>
      </c>
      <c r="M40" s="260">
        <f>IF($B40="","",IF(OR(Premium!$C$19="No",Premium!$C$18="Lifetime"),0,IF(AND($B40&gt;='Premiums Rates'!$AL$4+VALUE(LEFT(Premium!$C$18,1)),$B40&lt;('Premiums Rates'!$AL$4+2*VALUE(LEFT(Premium!$C$18,1))),OR(Premium!$C$9="Joint",Premium!$C$9="Individual Plus Additional Insured"),Premium!$C$19="Yes"),$J40*365,0)))</f>
        <v>0</v>
      </c>
      <c r="N40" s="260">
        <f>IF($B40="","",IF(OR(Premium!$C$9="Joint",Premium!$C$9="Individual Plus Additional Insured"),K40+L40+M40,K40+M40))</f>
        <v>0</v>
      </c>
      <c r="O40" s="260">
        <f>IF($C40="","",IF(Premium!$C$28="None",0,IF(LEFT(Premium!$C$28,4)="FROP",SUM($E$4:$E40),MAX(0,SUM($E$4:$E40)-SUM($N$4:$N39)))))</f>
        <v>0</v>
      </c>
      <c r="P40" s="260">
        <f>IF($B40="","",IF(RIGHT(Premium!$C$28,1)="S",MAX(0,0.8*SUM($E$4:$E40)-SUM($N$4:$N39)),0))</f>
        <v>0</v>
      </c>
      <c r="Q40" s="260">
        <f t="shared" si="8"/>
        <v>0</v>
      </c>
    </row>
    <row r="41" spans="1:20">
      <c r="A41" s="257"/>
      <c r="B41" s="257">
        <f t="shared" si="9"/>
        <v>38</v>
      </c>
      <c r="C41" s="257">
        <f>IF(OR(C40="",C40=(Premium!$G$8-1)),"",$C40+1)</f>
        <v>92</v>
      </c>
      <c r="D41" s="257">
        <f>IF(OR(C41="",$D40=Premium!$G$8,$D40=""),"",$D40+1)</f>
        <v>92</v>
      </c>
      <c r="E41" s="258">
        <f>IF($B41="","",IF(Premium!$C$24&lt;&gt;"Lifetime Pay",0,IF($B41&lt;='Premiums Rates'!$AL$27,$E40+IF(Premium!$D$31="N/A",0,Premium!$D$31*VLOOKUP(Premium!$C$25,'Premiums Rates'!$O$111:$P$114,2,0)),0)))</f>
        <v>0</v>
      </c>
      <c r="F41" s="258">
        <f t="shared" si="6"/>
        <v>0</v>
      </c>
      <c r="G41" s="258">
        <f>IF($B41="",0,MIN(VLOOKUP($C41,'Premiums Rates'!$AK$32:$AM$36,3,1)*(1+'Premiums Rates'!$AU$7)^($B41-1)+IF(OR(Premium!$C$9="Joint",Premium!$C$9="Individual Plus Additional Insured"),VLOOKUP($D41,'Premiums Rates'!$AK$32:$AM$36,3,1)*(1+'Premiums Rates'!$AU$7)^($B41-1)),F41))</f>
        <v>0</v>
      </c>
      <c r="H41" s="258">
        <f>IF($C41="",0,IF('Premiums Rates'!$AL$6="None",0,IF('Premiums Rates'!$AL$6="C-Corp",$F41*'Premiums Rates'!$AL$5,$G41*'Premiums Rates'!$AL$5)))</f>
        <v>0</v>
      </c>
      <c r="I41" s="258">
        <f t="shared" si="7"/>
        <v>0</v>
      </c>
      <c r="J41" s="259">
        <f>IF($B41="","",ROUND('Premiums Rates'!$J$94*(1+Premium!$C$21)^($B41-1),2))</f>
        <v>447.78</v>
      </c>
      <c r="K41" s="260">
        <f>IF($C41="","",IF(AND($B41&gt;='Premiums Rates'!$AL$4,$B41&lt;='Premiums Rates'!$AL$28),$J41*365,0))</f>
        <v>0</v>
      </c>
      <c r="L41" s="260">
        <f>IF($C41="","",IF(OR(Premium!$C$9="Joint",Premium!$C$9="Individual Plus Additional Insured"),$K41,0))</f>
        <v>0</v>
      </c>
      <c r="M41" s="260">
        <f>IF($B41="","",IF(OR(Premium!$C$19="No",Premium!$C$18="Lifetime"),0,IF(AND($B41&gt;='Premiums Rates'!$AL$4+VALUE(LEFT(Premium!$C$18,1)),$B41&lt;('Premiums Rates'!$AL$4+2*VALUE(LEFT(Premium!$C$18,1))),OR(Premium!$C$9="Joint",Premium!$C$9="Individual Plus Additional Insured"),Premium!$C$19="Yes"),$J41*365,0)))</f>
        <v>0</v>
      </c>
      <c r="N41" s="260">
        <f>IF($B41="","",IF(OR(Premium!$C$9="Joint",Premium!$C$9="Individual Plus Additional Insured"),K41+L41+M41,K41+M41))</f>
        <v>0</v>
      </c>
      <c r="O41" s="260">
        <f>IF($C41="","",IF(Premium!$C$28="None",0,IF(LEFT(Premium!$C$28,4)="FROP",SUM($E$4:$E41),MAX(0,SUM($E$4:$E41)-SUM($N$4:$N40)))))</f>
        <v>0</v>
      </c>
      <c r="P41" s="260">
        <f>IF($B41="","",IF(RIGHT(Premium!$C$28,1)="S",MAX(0,0.8*SUM($E$4:$E41)-SUM($N$4:$N40)),0))</f>
        <v>0</v>
      </c>
      <c r="Q41" s="260">
        <f t="shared" si="8"/>
        <v>0</v>
      </c>
    </row>
    <row r="42" spans="1:20">
      <c r="A42" s="257"/>
      <c r="B42" s="257">
        <f t="shared" si="9"/>
        <v>39</v>
      </c>
      <c r="C42" s="257">
        <f>IF(OR(C41="",C41=(Premium!$G$8-1)),"",$C41+1)</f>
        <v>93</v>
      </c>
      <c r="D42" s="257">
        <f>IF(OR(C42="",$D41=Premium!$G$8,$D41=""),"",$D41+1)</f>
        <v>93</v>
      </c>
      <c r="E42" s="258">
        <f>IF($B42="","",IF(Premium!$C$24&lt;&gt;"Lifetime Pay",0,IF($B42&lt;='Premiums Rates'!$AL$27,$E41+IF(Premium!$D$31="N/A",0,Premium!$D$31*VLOOKUP(Premium!$C$25,'Premiums Rates'!$O$111:$P$114,2,0)),0)))</f>
        <v>0</v>
      </c>
      <c r="F42" s="258">
        <f t="shared" si="6"/>
        <v>0</v>
      </c>
      <c r="G42" s="258">
        <f>IF($B42="",0,MIN(VLOOKUP($C42,'Premiums Rates'!$AK$32:$AM$36,3,1)*(1+'Premiums Rates'!$AU$7)^($B42-1)+IF(OR(Premium!$C$9="Joint",Premium!$C$9="Individual Plus Additional Insured"),VLOOKUP($D42,'Premiums Rates'!$AK$32:$AM$36,3,1)*(1+'Premiums Rates'!$AU$7)^($B42-1)),F42))</f>
        <v>0</v>
      </c>
      <c r="H42" s="258">
        <f>IF($C42="",0,IF('Premiums Rates'!$AL$6="None",0,IF('Premiums Rates'!$AL$6="C-Corp",$F42*'Premiums Rates'!$AL$5,$G42*'Premiums Rates'!$AL$5)))</f>
        <v>0</v>
      </c>
      <c r="I42" s="258">
        <f t="shared" si="7"/>
        <v>0</v>
      </c>
      <c r="J42" s="259">
        <f>IF($B42="","",ROUND('Premiums Rates'!$J$94*(1+Premium!$C$21)^($B42-1),2))</f>
        <v>461.22</v>
      </c>
      <c r="K42" s="260">
        <f>IF($C42="","",IF(AND($B42&gt;='Premiums Rates'!$AL$4,$B42&lt;='Premiums Rates'!$AL$28),$J42*365,0))</f>
        <v>0</v>
      </c>
      <c r="L42" s="260">
        <f>IF($C42="","",IF(OR(Premium!$C$9="Joint",Premium!$C$9="Individual Plus Additional Insured"),$K42,0))</f>
        <v>0</v>
      </c>
      <c r="M42" s="260">
        <f>IF($B42="","",IF(OR(Premium!$C$19="No",Premium!$C$18="Lifetime"),0,IF(AND($B42&gt;='Premiums Rates'!$AL$4+VALUE(LEFT(Premium!$C$18,1)),$B42&lt;('Premiums Rates'!$AL$4+2*VALUE(LEFT(Premium!$C$18,1))),OR(Premium!$C$9="Joint",Premium!$C$9="Individual Plus Additional Insured"),Premium!$C$19="Yes"),$J42*365,0)))</f>
        <v>0</v>
      </c>
      <c r="N42" s="260">
        <f>IF($B42="","",IF(OR(Premium!$C$9="Joint",Premium!$C$9="Individual Plus Additional Insured"),K42+L42+M42,K42+M42))</f>
        <v>0</v>
      </c>
      <c r="O42" s="260">
        <f>IF($C42="","",IF(Premium!$C$28="None",0,IF(LEFT(Premium!$C$28,4)="FROP",SUM($E$4:$E42),MAX(0,SUM($E$4:$E42)-SUM($N$4:$N41)))))</f>
        <v>0</v>
      </c>
      <c r="P42" s="260">
        <f>IF($B42="","",IF(RIGHT(Premium!$C$28,1)="S",MAX(0,0.8*SUM($E$4:$E42)-SUM($N$4:$N41)),0))</f>
        <v>0</v>
      </c>
      <c r="Q42" s="260">
        <f t="shared" si="8"/>
        <v>0</v>
      </c>
    </row>
    <row r="43" spans="1:20">
      <c r="A43" s="257"/>
      <c r="B43" s="257">
        <f t="shared" si="9"/>
        <v>40</v>
      </c>
      <c r="C43" s="257">
        <f>IF(OR(C42="",C42=(Premium!$G$8-1)),"",$C42+1)</f>
        <v>94</v>
      </c>
      <c r="D43" s="257">
        <f>IF(OR(C43="",$D42=Premium!$G$8,$D42=""),"",$D42+1)</f>
        <v>94</v>
      </c>
      <c r="E43" s="258">
        <f>IF($B43="","",IF(Premium!$C$24&lt;&gt;"Lifetime Pay",0,IF($B43&lt;='Premiums Rates'!$AL$27,$E42+IF(Premium!$D$31="N/A",0,Premium!$D$31*VLOOKUP(Premium!$C$25,'Premiums Rates'!$O$111:$P$114,2,0)),0)))</f>
        <v>0</v>
      </c>
      <c r="F43" s="258">
        <f t="shared" si="6"/>
        <v>0</v>
      </c>
      <c r="G43" s="258">
        <f>IF($B43="",0,MIN(VLOOKUP($C43,'Premiums Rates'!$AK$32:$AM$36,3,1)*(1+'Premiums Rates'!$AU$7)^($B43-1)+IF(OR(Premium!$C$9="Joint",Premium!$C$9="Individual Plus Additional Insured"),VLOOKUP($D43,'Premiums Rates'!$AK$32:$AM$36,3,1)*(1+'Premiums Rates'!$AU$7)^($B43-1)),F43))</f>
        <v>0</v>
      </c>
      <c r="H43" s="258">
        <f>IF($C43="",0,IF('Premiums Rates'!$AL$6="None",0,IF('Premiums Rates'!$AL$6="C-Corp",$F43*'Premiums Rates'!$AL$5,$G43*'Premiums Rates'!$AL$5)))</f>
        <v>0</v>
      </c>
      <c r="I43" s="258">
        <f t="shared" si="7"/>
        <v>0</v>
      </c>
      <c r="J43" s="259">
        <f>IF($B43="","",ROUND('Premiums Rates'!$J$94*(1+Premium!$C$21)^($B43-1),2))</f>
        <v>475.05</v>
      </c>
      <c r="K43" s="260">
        <f>IF($C43="","",IF(AND($B43&gt;='Premiums Rates'!$AL$4,$B43&lt;='Premiums Rates'!$AL$28),$J43*365,0))</f>
        <v>0</v>
      </c>
      <c r="L43" s="260">
        <f>IF($C43="","",IF(OR(Premium!$C$9="Joint",Premium!$C$9="Individual Plus Additional Insured"),$K43,0))</f>
        <v>0</v>
      </c>
      <c r="M43" s="260">
        <f>IF($B43="","",IF(OR(Premium!$C$19="No",Premium!$C$18="Lifetime"),0,IF(AND($B43&gt;='Premiums Rates'!$AL$4+VALUE(LEFT(Premium!$C$18,1)),$B43&lt;('Premiums Rates'!$AL$4+2*VALUE(LEFT(Premium!$C$18,1))),OR(Premium!$C$9="Joint",Premium!$C$9="Individual Plus Additional Insured"),Premium!$C$19="Yes"),$J43*365,0)))</f>
        <v>0</v>
      </c>
      <c r="N43" s="260">
        <f>IF($B43="","",IF(OR(Premium!$C$9="Joint",Premium!$C$9="Individual Plus Additional Insured"),K43+L43+M43,K43+M43))</f>
        <v>0</v>
      </c>
      <c r="O43" s="260">
        <f>IF($C43="","",IF(Premium!$C$28="None",0,IF(LEFT(Premium!$C$28,4)="FROP",SUM($E$4:$E43),MAX(0,SUM($E$4:$E43)-SUM($N$4:$N42)))))</f>
        <v>0</v>
      </c>
      <c r="P43" s="260">
        <f>IF($B43="","",IF(RIGHT(Premium!$C$28,1)="S",MAX(0,0.8*SUM($E$4:$E43)-SUM($N$4:$N42)),0))</f>
        <v>0</v>
      </c>
      <c r="Q43" s="260">
        <f t="shared" si="8"/>
        <v>0</v>
      </c>
    </row>
    <row r="44" spans="1:20">
      <c r="A44" s="257"/>
      <c r="B44" s="257">
        <f t="shared" si="9"/>
        <v>41</v>
      </c>
      <c r="C44" s="257">
        <f>IF(OR(C43="",C43=(Premium!$G$8-1)),"",$C43+1)</f>
        <v>95</v>
      </c>
      <c r="D44" s="257">
        <f>IF(OR(C44="",$D43=Premium!$G$8,$D43=""),"",$D43+1)</f>
        <v>95</v>
      </c>
      <c r="E44" s="258">
        <f>IF($B44="","",IF(Premium!$C$24&lt;&gt;"Lifetime Pay",0,IF($B44&lt;='Premiums Rates'!$AL$27,$E43+IF(Premium!$D$31="N/A",0,Premium!$D$31*VLOOKUP(Premium!$C$25,'Premiums Rates'!$O$111:$P$114,2,0)),0)))</f>
        <v>0</v>
      </c>
      <c r="F44" s="258">
        <f t="shared" si="6"/>
        <v>0</v>
      </c>
      <c r="G44" s="258">
        <f>IF($B44="",0,MIN(VLOOKUP($C44,'Premiums Rates'!$AK$32:$AM$36,3,1)*(1+'Premiums Rates'!$AU$7)^($B44-1)+IF(OR(Premium!$C$9="Joint",Premium!$C$9="Individual Plus Additional Insured"),VLOOKUP($D44,'Premiums Rates'!$AK$32:$AM$36,3,1)*(1+'Premiums Rates'!$AU$7)^($B44-1)),F44))</f>
        <v>0</v>
      </c>
      <c r="H44" s="258">
        <f>IF($C44="",0,IF('Premiums Rates'!$AL$6="None",0,IF('Premiums Rates'!$AL$6="C-Corp",$F44*'Premiums Rates'!$AL$5,$G44*'Premiums Rates'!$AL$5)))</f>
        <v>0</v>
      </c>
      <c r="I44" s="258">
        <f t="shared" si="7"/>
        <v>0</v>
      </c>
      <c r="J44" s="259">
        <f>IF($B44="","",ROUND('Premiums Rates'!$J$94*(1+Premium!$C$21)^($B44-1),2))</f>
        <v>489.31</v>
      </c>
      <c r="K44" s="260">
        <f>IF($C44="","",IF(AND($B44&gt;='Premiums Rates'!$AL$4,$B44&lt;='Premiums Rates'!$AL$28),$J44*365,0))</f>
        <v>0</v>
      </c>
      <c r="L44" s="260">
        <f>IF($C44="","",IF(OR(Premium!$C$9="Joint",Premium!$C$9="Individual Plus Additional Insured"),$K44,0))</f>
        <v>0</v>
      </c>
      <c r="M44" s="260">
        <f>IF($B44="","",IF(OR(Premium!$C$19="No",Premium!$C$18="Lifetime"),0,IF(AND($B44&gt;='Premiums Rates'!$AL$4+VALUE(LEFT(Premium!$C$18,1)),$B44&lt;('Premiums Rates'!$AL$4+2*VALUE(LEFT(Premium!$C$18,1))),OR(Premium!$C$9="Joint",Premium!$C$9="Individual Plus Additional Insured"),Premium!$C$19="Yes"),$J44*365,0)))</f>
        <v>0</v>
      </c>
      <c r="N44" s="260">
        <f>IF($B44="","",IF(OR(Premium!$C$9="Joint",Premium!$C$9="Individual Plus Additional Insured"),K44+L44+M44,K44+M44))</f>
        <v>0</v>
      </c>
      <c r="O44" s="260">
        <f>IF($C44="","",IF(Premium!$C$28="None",0,IF(LEFT(Premium!$C$28,4)="FROP",SUM($E$4:$E44),MAX(0,SUM($E$4:$E44)-SUM($N$4:$N43)))))</f>
        <v>0</v>
      </c>
      <c r="P44" s="260">
        <f>IF($B44="","",IF(RIGHT(Premium!$C$28,1)="S",MAX(0,0.8*SUM($E$4:$E44)-SUM($N$4:$N43)),0))</f>
        <v>0</v>
      </c>
      <c r="Q44" s="260">
        <f t="shared" si="8"/>
        <v>0</v>
      </c>
    </row>
    <row r="45" spans="1:20">
      <c r="A45" s="257"/>
      <c r="B45" s="257">
        <f t="shared" si="9"/>
        <v>42</v>
      </c>
      <c r="C45" s="257">
        <f>IF(OR(C44="",C44=(Premium!$G$8-1)),"",$C44+1)</f>
        <v>96</v>
      </c>
      <c r="D45" s="257">
        <f>IF(OR(C45="",$D44=Premium!$G$8,$D44=""),"",$D44+1)</f>
        <v>96</v>
      </c>
      <c r="E45" s="258">
        <f>IF($B45="","",IF(Premium!$C$24&lt;&gt;"Lifetime Pay",0,IF($B45&lt;='Premiums Rates'!$AL$27,$E44+IF(Premium!$D$31="N/A",0,Premium!$D$31*VLOOKUP(Premium!$C$25,'Premiums Rates'!$O$111:$P$114,2,0)),0)))</f>
        <v>0</v>
      </c>
      <c r="F45" s="258">
        <f t="shared" si="6"/>
        <v>0</v>
      </c>
      <c r="G45" s="258">
        <f>IF($B45="",0,MIN(VLOOKUP($C45,'Premiums Rates'!$AK$32:$AM$36,3,1)*(1+'Premiums Rates'!$AU$7)^($B45-1)+IF(OR(Premium!$C$9="Joint",Premium!$C$9="Individual Plus Additional Insured"),VLOOKUP($D45,'Premiums Rates'!$AK$32:$AM$36,3,1)*(1+'Premiums Rates'!$AU$7)^($B45-1)),F45))</f>
        <v>0</v>
      </c>
      <c r="H45" s="258">
        <f>IF($C45="",0,IF('Premiums Rates'!$AL$6="None",0,IF('Premiums Rates'!$AL$6="C-Corp",$F45*'Premiums Rates'!$AL$5,$G45*'Premiums Rates'!$AL$5)))</f>
        <v>0</v>
      </c>
      <c r="I45" s="258">
        <f t="shared" si="7"/>
        <v>0</v>
      </c>
      <c r="J45" s="259">
        <f>IF($B45="","",ROUND('Premiums Rates'!$J$94*(1+Premium!$C$21)^($B45-1),2))</f>
        <v>503.98</v>
      </c>
      <c r="K45" s="260">
        <f>IF($C45="","",IF(AND($B45&gt;='Premiums Rates'!$AL$4,$B45&lt;='Premiums Rates'!$AL$28),$J45*365,0))</f>
        <v>0</v>
      </c>
      <c r="L45" s="260">
        <f>IF($C45="","",IF(OR(Premium!$C$9="Joint",Premium!$C$9="Individual Plus Additional Insured"),$K45,0))</f>
        <v>0</v>
      </c>
      <c r="M45" s="260">
        <f>IF($B45="","",IF(OR(Premium!$C$19="No",Premium!$C$18="Lifetime"),0,IF(AND($B45&gt;='Premiums Rates'!$AL$4+VALUE(LEFT(Premium!$C$18,1)),$B45&lt;('Premiums Rates'!$AL$4+2*VALUE(LEFT(Premium!$C$18,1))),OR(Premium!$C$9="Joint",Premium!$C$9="Individual Plus Additional Insured"),Premium!$C$19="Yes"),$J45*365,0)))</f>
        <v>0</v>
      </c>
      <c r="N45" s="260">
        <f>IF($B45="","",IF(OR(Premium!$C$9="Joint",Premium!$C$9="Individual Plus Additional Insured"),K45+L45+M45,K45+M45))</f>
        <v>0</v>
      </c>
      <c r="O45" s="260">
        <f>IF($C45="","",IF(Premium!$C$28="None",0,IF(LEFT(Premium!$C$28,4)="FROP",SUM($E$4:$E45),MAX(0,SUM($E$4:$E45)-SUM($N$4:$N44)))))</f>
        <v>0</v>
      </c>
      <c r="P45" s="260">
        <f>IF($B45="","",IF(RIGHT(Premium!$C$28,1)="S",MAX(0,0.8*SUM($E$4:$E45)-SUM($N$4:$N44)),0))</f>
        <v>0</v>
      </c>
      <c r="Q45" s="260">
        <f t="shared" si="8"/>
        <v>0</v>
      </c>
    </row>
    <row r="46" spans="1:20">
      <c r="A46" s="257"/>
      <c r="B46" s="257">
        <f t="shared" si="9"/>
        <v>43</v>
      </c>
      <c r="C46" s="257">
        <f>IF(OR(C45="",C45=(Premium!$G$8-1)),"",$C45+1)</f>
        <v>97</v>
      </c>
      <c r="D46" s="257">
        <f>IF(OR(C46="",$D45=Premium!$G$8,$D45=""),"",$D45+1)</f>
        <v>97</v>
      </c>
      <c r="E46" s="258">
        <f>IF($B46="","",IF(Premium!$C$24&lt;&gt;"Lifetime Pay",0,IF($B46&lt;='Premiums Rates'!$AL$27,$E45+IF(Premium!$D$31="N/A",0,Premium!$D$31*VLOOKUP(Premium!$C$25,'Premiums Rates'!$O$111:$P$114,2,0)),0)))</f>
        <v>0</v>
      </c>
      <c r="F46" s="258">
        <f t="shared" si="6"/>
        <v>0</v>
      </c>
      <c r="G46" s="258">
        <f>IF($B46="",0,MIN(VLOOKUP($C46,'Premiums Rates'!$AK$32:$AM$36,3,1)*(1+'Premiums Rates'!$AU$7)^($B46-1)+IF(OR(Premium!$C$9="Joint",Premium!$C$9="Individual Plus Additional Insured"),VLOOKUP($D46,'Premiums Rates'!$AK$32:$AM$36,3,1)*(1+'Premiums Rates'!$AU$7)^($B46-1)),F46))</f>
        <v>0</v>
      </c>
      <c r="H46" s="258">
        <f>IF($C46="",0,IF('Premiums Rates'!$AL$6="None",0,IF('Premiums Rates'!$AL$6="C-Corp",$F46*'Premiums Rates'!$AL$5,$G46*'Premiums Rates'!$AL$5)))</f>
        <v>0</v>
      </c>
      <c r="I46" s="258">
        <f t="shared" si="7"/>
        <v>0</v>
      </c>
      <c r="J46" s="259">
        <f>IF($B46="","",ROUND('Premiums Rates'!$J$94*(1+Premium!$C$21)^($B46-1),2))</f>
        <v>519.1</v>
      </c>
      <c r="K46" s="260">
        <f>IF($C46="","",IF(AND($B46&gt;='Premiums Rates'!$AL$4,$B46&lt;='Premiums Rates'!$AL$28),$J46*365,0))</f>
        <v>0</v>
      </c>
      <c r="L46" s="260">
        <f>IF($C46="","",IF(OR(Premium!$C$9="Joint",Premium!$C$9="Individual Plus Additional Insured"),$K46,0))</f>
        <v>0</v>
      </c>
      <c r="M46" s="260">
        <f>IF($B46="","",IF(OR(Premium!$C$19="No",Premium!$C$18="Lifetime"),0,IF(AND($B46&gt;='Premiums Rates'!$AL$4+VALUE(LEFT(Premium!$C$18,1)),$B46&lt;('Premiums Rates'!$AL$4+2*VALUE(LEFT(Premium!$C$18,1))),OR(Premium!$C$9="Joint",Premium!$C$9="Individual Plus Additional Insured"),Premium!$C$19="Yes"),$J46*365,0)))</f>
        <v>0</v>
      </c>
      <c r="N46" s="260">
        <f>IF($B46="","",IF(OR(Premium!$C$9="Joint",Premium!$C$9="Individual Plus Additional Insured"),K46+L46+M46,K46+M46))</f>
        <v>0</v>
      </c>
      <c r="O46" s="260">
        <f>IF($C46="","",IF(Premium!$C$28="None",0,IF(LEFT(Premium!$C$28,4)="FROP",SUM($E$4:$E46),MAX(0,SUM($E$4:$E46)-SUM($N$4:$N45)))))</f>
        <v>0</v>
      </c>
      <c r="P46" s="260">
        <f>IF($B46="","",IF(RIGHT(Premium!$C$28,1)="S",MAX(0,0.8*SUM($E$4:$E46)-SUM($N$4:$N45)),0))</f>
        <v>0</v>
      </c>
      <c r="Q46" s="260">
        <f t="shared" si="8"/>
        <v>0</v>
      </c>
    </row>
    <row r="47" spans="1:20">
      <c r="A47" s="257"/>
      <c r="B47" s="257">
        <f t="shared" si="9"/>
        <v>44</v>
      </c>
      <c r="C47" s="257">
        <f>IF(OR(C46="",C46=(Premium!$G$8-1)),"",$C46+1)</f>
        <v>98</v>
      </c>
      <c r="D47" s="257">
        <f>IF(OR(C47="",$D46=Premium!$G$8,$D46=""),"",$D46+1)</f>
        <v>98</v>
      </c>
      <c r="E47" s="258">
        <f>IF($B47="","",IF(Premium!$C$24&lt;&gt;"Lifetime Pay",0,IF($B47&lt;='Premiums Rates'!$AL$27,$E46+IF(Premium!$D$31="N/A",0,Premium!$D$31*VLOOKUP(Premium!$C$25,'Premiums Rates'!$O$111:$P$114,2,0)),0)))</f>
        <v>0</v>
      </c>
      <c r="F47" s="258">
        <f t="shared" si="6"/>
        <v>0</v>
      </c>
      <c r="G47" s="258">
        <f>IF($B47="",0,MIN(VLOOKUP($C47,'Premiums Rates'!$AK$32:$AM$36,3,1)*(1+'Premiums Rates'!$AU$7)^($B47-1)+IF(OR(Premium!$C$9="Joint",Premium!$C$9="Individual Plus Additional Insured"),VLOOKUP($D47,'Premiums Rates'!$AK$32:$AM$36,3,1)*(1+'Premiums Rates'!$AU$7)^($B47-1)),F47))</f>
        <v>0</v>
      </c>
      <c r="H47" s="258">
        <f>IF($C47="",0,IF('Premiums Rates'!$AL$6="None",0,IF('Premiums Rates'!$AL$6="C-Corp",$F47*'Premiums Rates'!$AL$5,$G47*'Premiums Rates'!$AL$5)))</f>
        <v>0</v>
      </c>
      <c r="I47" s="258">
        <f t="shared" si="7"/>
        <v>0</v>
      </c>
      <c r="J47" s="259">
        <f>IF($B47="","",ROUND('Premiums Rates'!$J$94*(1+Premium!$C$21)^($B47-1),2))</f>
        <v>534.67999999999995</v>
      </c>
      <c r="K47" s="260">
        <f>IF($C47="","",IF(AND($B47&gt;='Premiums Rates'!$AL$4,$B47&lt;='Premiums Rates'!$AL$28),$J47*365,0))</f>
        <v>0</v>
      </c>
      <c r="L47" s="260">
        <f>IF($C47="","",IF(OR(Premium!$C$9="Joint",Premium!$C$9="Individual Plus Additional Insured"),$K47,0))</f>
        <v>0</v>
      </c>
      <c r="M47" s="260">
        <f>IF($B47="","",IF(OR(Premium!$C$19="No",Premium!$C$18="Lifetime"),0,IF(AND($B47&gt;='Premiums Rates'!$AL$4+VALUE(LEFT(Premium!$C$18,1)),$B47&lt;('Premiums Rates'!$AL$4+2*VALUE(LEFT(Premium!$C$18,1))),OR(Premium!$C$9="Joint",Premium!$C$9="Individual Plus Additional Insured"),Premium!$C$19="Yes"),$J47*365,0)))</f>
        <v>0</v>
      </c>
      <c r="N47" s="260">
        <f>IF($B47="","",IF(OR(Premium!$C$9="Joint",Premium!$C$9="Individual Plus Additional Insured"),K47+L47+M47,K47+M47))</f>
        <v>0</v>
      </c>
      <c r="O47" s="260">
        <f>IF($C47="","",IF(Premium!$C$28="None",0,IF(LEFT(Premium!$C$28,4)="FROP",SUM($E$4:$E47),MAX(0,SUM($E$4:$E47)-SUM($N$4:$N46)))))</f>
        <v>0</v>
      </c>
      <c r="P47" s="260">
        <f>IF($B47="","",IF(RIGHT(Premium!$C$28,1)="S",MAX(0,0.8*SUM($E$4:$E47)-SUM($N$4:$N46)),0))</f>
        <v>0</v>
      </c>
      <c r="Q47" s="260">
        <f t="shared" si="8"/>
        <v>0</v>
      </c>
    </row>
    <row r="48" spans="1:20">
      <c r="A48" s="257"/>
      <c r="B48" s="257">
        <f t="shared" si="9"/>
        <v>45</v>
      </c>
      <c r="C48" s="257">
        <f>IF(OR(C47="",C47=(Premium!$G$8-1)),"",$C47+1)</f>
        <v>99</v>
      </c>
      <c r="D48" s="257">
        <f>IF(OR(C48="",$D47=Premium!$G$8,$D47=""),"",$D47+1)</f>
        <v>99</v>
      </c>
      <c r="E48" s="258">
        <f>IF($B48="","",IF(Premium!$C$24&lt;&gt;"Lifetime Pay",0,IF($B48&lt;='Premiums Rates'!$AL$27,$E47+IF(Premium!$D$31="N/A",0,Premium!$D$31*VLOOKUP(Premium!$C$25,'Premiums Rates'!$O$111:$P$114,2,0)),0)))</f>
        <v>0</v>
      </c>
      <c r="F48" s="258">
        <f t="shared" si="6"/>
        <v>0</v>
      </c>
      <c r="G48" s="258">
        <f>IF($B48="",0,MIN(VLOOKUP($C48,'Premiums Rates'!$AK$32:$AM$36,3,1)*(1+'Premiums Rates'!$AU$7)^($B48-1)+IF(OR(Premium!$C$9="Joint",Premium!$C$9="Individual Plus Additional Insured"),VLOOKUP($D48,'Premiums Rates'!$AK$32:$AM$36,3,1)*(1+'Premiums Rates'!$AU$7)^($B48-1)),F48))</f>
        <v>0</v>
      </c>
      <c r="H48" s="258">
        <f>IF($C48="",0,IF('Premiums Rates'!$AL$6="None",0,IF('Premiums Rates'!$AL$6="C-Corp",$F48*'Premiums Rates'!$AL$5,$G48*'Premiums Rates'!$AL$5)))</f>
        <v>0</v>
      </c>
      <c r="I48" s="258" t="str">
        <f t="shared" si="7"/>
        <v/>
      </c>
      <c r="J48" s="259">
        <f>IF($B48="","",ROUND('Premiums Rates'!$J$94*(1+Premium!$C$21)^($B48-1),2))</f>
        <v>550.72</v>
      </c>
      <c r="K48" s="260">
        <f>IF($C48="","",IF(AND($B48&gt;='Premiums Rates'!$AL$4,$B48&lt;='Premiums Rates'!$AL$28),$J48*365,0))</f>
        <v>0</v>
      </c>
      <c r="L48" s="260">
        <f>IF($C48="","",IF(OR(Premium!$C$9="Joint",Premium!$C$9="Individual Plus Additional Insured"),$K48,0))</f>
        <v>0</v>
      </c>
      <c r="M48" s="260">
        <f>IF($B48="","",IF(OR(Premium!$C$19="No",Premium!$C$18="Lifetime"),0,IF(AND($B48&gt;='Premiums Rates'!$AL$4+VALUE(LEFT(Premium!$C$18,1)),$B48&lt;('Premiums Rates'!$AL$4+2*VALUE(LEFT(Premium!$C$18,1))),OR(Premium!$C$9="Joint",Premium!$C$9="Individual Plus Additional Insured"),Premium!$C$19="Yes"),$J48*365,0)))</f>
        <v>0</v>
      </c>
      <c r="N48" s="260">
        <f>IF($B48="","",IF(OR(Premium!$C$9="Joint",Premium!$C$9="Individual Plus Additional Insured"),K48+L48+M48,K48+M48))</f>
        <v>0</v>
      </c>
      <c r="O48" s="260">
        <f>IF($C48="","",IF(Premium!$C$28="None",0,IF(LEFT(Premium!$C$28,4)="FROP",SUM($E$4:$E48),MAX(0,SUM($E$4:$E48)-SUM($N$4:$N47)))))</f>
        <v>0</v>
      </c>
      <c r="P48" s="260">
        <f>IF($B48="","",IF(RIGHT(Premium!$C$28,1)="S",MAX(0,0.8*SUM($E$4:$E48)-SUM($N$4:$N47)),0))</f>
        <v>0</v>
      </c>
      <c r="Q48" s="260">
        <f t="shared" si="8"/>
        <v>0</v>
      </c>
    </row>
    <row r="49" spans="1:17">
      <c r="A49" s="257"/>
      <c r="B49" s="257" t="str">
        <f t="shared" si="9"/>
        <v/>
      </c>
      <c r="C49" s="257" t="str">
        <f>IF(OR(C48="",C48=(Premium!$G$8-1)),"",$C48+1)</f>
        <v/>
      </c>
      <c r="D49" s="257" t="str">
        <f>IF(OR(C49="",$D48=Premium!$G$8,$D48=""),"",$D48+1)</f>
        <v/>
      </c>
      <c r="E49" s="258" t="str">
        <f>IF($B49="","",IF(Premium!$C$24&lt;&gt;"Lifetime Pay",0,IF($B49&lt;='Premiums Rates'!$AL$27,$E48+IF(Premium!$D$31="N/A",0,Premium!$D$31*VLOOKUP(Premium!$C$25,'Premiums Rates'!$O$111:$P$114,2,0)),0)))</f>
        <v/>
      </c>
      <c r="F49" s="258">
        <f t="shared" si="6"/>
        <v>0</v>
      </c>
      <c r="G49" s="258">
        <f>IF($B49="",0,MIN(VLOOKUP($C49,'Premiums Rates'!$AK$32:$AM$36,3,1)*(1+'Premiums Rates'!$AU$7)^($B49-1)+IF(OR(Premium!$C$9="Joint",Premium!$C$9="Individual Plus Additional Insured"),VLOOKUP($D49,'Premiums Rates'!$AK$32:$AM$36,3,1)*(1+'Premiums Rates'!$AU$7)^($B49-1)),F49))</f>
        <v>0</v>
      </c>
      <c r="H49" s="258">
        <f>IF($C49="",0,IF('Premiums Rates'!$AL$6="None",0,IF('Premiums Rates'!$AL$6="C-Corp",$F49*'Premiums Rates'!$AL$5,$G49*'Premiums Rates'!$AL$5)))</f>
        <v>0</v>
      </c>
      <c r="I49" s="258" t="str">
        <f t="shared" si="7"/>
        <v/>
      </c>
      <c r="J49" s="259" t="str">
        <f>IF($B49="","",ROUND('Premiums Rates'!$J$94*(1+Premium!$C$21)^($B49-1),2))</f>
        <v/>
      </c>
      <c r="K49" s="260" t="str">
        <f>IF($C49="","",IF(AND($B49&gt;='Premiums Rates'!$AL$4,$B49&lt;='Premiums Rates'!$AL$28),$J49*365,0))</f>
        <v/>
      </c>
      <c r="L49" s="260" t="str">
        <f>IF($C49="","",IF(OR(Premium!$C$9="Joint",Premium!$C$9="Individual Plus Additional Insured"),$K49,0))</f>
        <v/>
      </c>
      <c r="M49" s="260" t="str">
        <f>IF($B49="","",IF(OR(Premium!$C$19="No",Premium!$C$18="Lifetime"),0,IF(AND($B49&gt;='Premiums Rates'!$AL$4+VALUE(LEFT(Premium!$C$18,1)),$B49&lt;('Premiums Rates'!$AL$4+2*VALUE(LEFT(Premium!$C$18,1))),OR(Premium!$C$9="Joint",Premium!$C$9="Individual Plus Additional Insured"),Premium!$C$19="Yes"),$J49*365,0)))</f>
        <v/>
      </c>
      <c r="N49" s="260" t="str">
        <f>IF($B49="","",IF(OR(Premium!$C$9="Joint",Premium!$C$9="Individual Plus Additional Insured"),K49+L49+M49,K49+M49))</f>
        <v/>
      </c>
      <c r="O49" s="260" t="str">
        <f>IF($C49="","",IF(Premium!$C$28="None",0,IF(LEFT(Premium!$C$28,4)="FROP",SUM($E$4:$E49),MAX(0,SUM($E$4:$E49)-SUM($N$4:$N48)))))</f>
        <v/>
      </c>
      <c r="P49" s="260" t="str">
        <f>IF($B49="","",IF(RIGHT(Premium!$C$28,1)="S",MAX(0,0.8*SUM($E$4:$E49)-SUM($N$4:$N48)),0))</f>
        <v/>
      </c>
      <c r="Q49" s="260" t="str">
        <f t="shared" si="8"/>
        <v/>
      </c>
    </row>
    <row r="50" spans="1:17">
      <c r="A50" s="257"/>
      <c r="B50" s="257" t="str">
        <f t="shared" si="9"/>
        <v/>
      </c>
      <c r="C50" s="257" t="str">
        <f>IF(OR(C49="",C49=(Premium!$G$8-1)),"",$C49+1)</f>
        <v/>
      </c>
      <c r="D50" s="257" t="str">
        <f>IF(OR(C50="",$D49=Premium!$G$8,$D49=""),"",$D49+1)</f>
        <v/>
      </c>
      <c r="E50" s="258" t="str">
        <f>IF($B50="","",IF(Premium!$C$24&lt;&gt;"Lifetime Pay",0,IF($B50&lt;='Premiums Rates'!$AL$27,$E49+IF(Premium!$D$31="N/A",0,Premium!$D$31*VLOOKUP(Premium!$C$25,'Premiums Rates'!$O$111:$P$114,2,0)),0)))</f>
        <v/>
      </c>
      <c r="F50" s="258">
        <f t="shared" si="6"/>
        <v>0</v>
      </c>
      <c r="G50" s="258">
        <f>IF($B50="",0,MIN(VLOOKUP($C50,'Premiums Rates'!$AK$32:$AM$36,3,1)*(1+'Premiums Rates'!$AU$7)^($B50-1)+IF(OR(Premium!$C$9="Joint",Premium!$C$9="Individual Plus Additional Insured"),VLOOKUP($D50,'Premiums Rates'!$AK$32:$AM$36,3,1)*(1+'Premiums Rates'!$AU$7)^($B50-1)),F50))</f>
        <v>0</v>
      </c>
      <c r="H50" s="258">
        <f>IF($C50="",0,IF('Premiums Rates'!$AL$6="None",0,IF('Premiums Rates'!$AL$6="C-Corp",$F50*'Premiums Rates'!$AL$5,$G50*'Premiums Rates'!$AL$5)))</f>
        <v>0</v>
      </c>
      <c r="I50" s="258" t="str">
        <f t="shared" si="7"/>
        <v/>
      </c>
      <c r="J50" s="259" t="str">
        <f>IF($B50="","",ROUND('Premiums Rates'!$J$94*(1+Premium!$C$21)^($B50-1),2))</f>
        <v/>
      </c>
      <c r="K50" s="260" t="str">
        <f>IF($C50="","",IF(AND($B50&gt;='Premiums Rates'!$AL$4,$B50&lt;='Premiums Rates'!$AL$28),$J50*365,0))</f>
        <v/>
      </c>
      <c r="L50" s="260" t="str">
        <f>IF($C50="","",IF(OR(Premium!$C$9="Joint",Premium!$C$9="Individual Plus Additional Insured"),$K50,0))</f>
        <v/>
      </c>
      <c r="M50" s="260" t="str">
        <f>IF($B50="","",IF(OR(Premium!$C$19="No",Premium!$C$18="Lifetime"),0,IF(AND($B50&gt;='Premiums Rates'!$AL$4+VALUE(LEFT(Premium!$C$18,1)),$B50&lt;('Premiums Rates'!$AL$4+2*VALUE(LEFT(Premium!$C$18,1))),OR(Premium!$C$9="Joint",Premium!$C$9="Individual Plus Additional Insured"),Premium!$C$19="Yes"),$J50*365,0)))</f>
        <v/>
      </c>
      <c r="N50" s="260" t="str">
        <f>IF($B50="","",IF(OR(Premium!$C$9="Joint",Premium!$C$9="Individual Plus Additional Insured"),K50+L50+M50,K50+M50))</f>
        <v/>
      </c>
      <c r="O50" s="260" t="str">
        <f>IF($C50="","",IF(Premium!$C$28="None",0,IF(LEFT(Premium!$C$28,4)="FROP",SUM($E$4:$E50),MAX(0,SUM($E$4:$E50)-SUM($N$4:$N49)))))</f>
        <v/>
      </c>
      <c r="P50" s="260" t="str">
        <f>IF($B50="","",IF(RIGHT(Premium!$C$28,1)="S",MAX(0,0.8*SUM($E$4:$E50)-SUM($N$4:$N49)),0))</f>
        <v/>
      </c>
      <c r="Q50" s="260" t="str">
        <f t="shared" si="8"/>
        <v/>
      </c>
    </row>
    <row r="51" spans="1:17">
      <c r="A51" s="257"/>
      <c r="B51" s="257" t="str">
        <f t="shared" si="9"/>
        <v/>
      </c>
      <c r="C51" s="257" t="str">
        <f>IF(OR(C50="",C50=(Premium!$G$8-1)),"",$C50+1)</f>
        <v/>
      </c>
      <c r="D51" s="257" t="str">
        <f>IF(OR(C51="",$D50=Premium!$G$8,$D50=""),"",$D50+1)</f>
        <v/>
      </c>
      <c r="E51" s="258" t="str">
        <f>IF($B51="","",IF(Premium!$C$24&lt;&gt;"Lifetime Pay",0,IF($B51&lt;='Premiums Rates'!$AL$27,$E50+IF(Premium!$D$31="N/A",0,Premium!$D$31*VLOOKUP(Premium!$C$25,'Premiums Rates'!$O$111:$P$114,2,0)),0)))</f>
        <v/>
      </c>
      <c r="F51" s="258">
        <f t="shared" si="6"/>
        <v>0</v>
      </c>
      <c r="G51" s="258">
        <f>IF($B51="",0,MIN(VLOOKUP($C51,'Premiums Rates'!$AK$32:$AM$36,3,1)*(1+'Premiums Rates'!$AU$7)^($B51-1)+IF(OR(Premium!$C$9="Joint",Premium!$C$9="Individual Plus Additional Insured"),VLOOKUP($D51,'Premiums Rates'!$AK$32:$AM$36,3,1)*(1+'Premiums Rates'!$AU$7)^($B51-1)),F51))</f>
        <v>0</v>
      </c>
      <c r="H51" s="258">
        <f>IF($C51="",0,IF('Premiums Rates'!$AL$6="None",0,IF('Premiums Rates'!$AL$6="C-Corp",$F51*'Premiums Rates'!$AL$5,$G51*'Premiums Rates'!$AL$5)))</f>
        <v>0</v>
      </c>
      <c r="I51" s="258" t="str">
        <f t="shared" si="7"/>
        <v/>
      </c>
      <c r="J51" s="259" t="str">
        <f>IF($B51="","",ROUND('Premiums Rates'!$J$94*(1+Premium!$C$21)^($B51-1),2))</f>
        <v/>
      </c>
      <c r="K51" s="260" t="str">
        <f>IF($C51="","",IF(AND($B51&gt;='Premiums Rates'!$AL$4,$B51&lt;='Premiums Rates'!$AL$28),$J51*365,0))</f>
        <v/>
      </c>
      <c r="L51" s="260" t="str">
        <f>IF($C51="","",IF(OR(Premium!$C$9="Joint",Premium!$C$9="Individual Plus Additional Insured"),$K51,0))</f>
        <v/>
      </c>
      <c r="M51" s="260" t="str">
        <f>IF($B51="","",IF(OR(Premium!$C$19="No",Premium!$C$18="Lifetime"),0,IF(AND($B51&gt;='Premiums Rates'!$AL$4+VALUE(LEFT(Premium!$C$18,1)),$B51&lt;('Premiums Rates'!$AL$4+2*VALUE(LEFT(Premium!$C$18,1))),OR(Premium!$C$9="Joint",Premium!$C$9="Individual Plus Additional Insured"),Premium!$C$19="Yes"),$J51*365,0)))</f>
        <v/>
      </c>
      <c r="N51" s="260" t="str">
        <f>IF($B51="","",IF(OR(Premium!$C$9="Joint",Premium!$C$9="Individual Plus Additional Insured"),K51+L51+M51,K51+M51))</f>
        <v/>
      </c>
      <c r="O51" s="260" t="str">
        <f>IF($C51="","",IF(Premium!$C$28="None",0,IF(LEFT(Premium!$C$28,4)="FROP",SUM($E$4:$E51),MAX(0,SUM($E$4:$E51)-SUM($N$4:$N50)))))</f>
        <v/>
      </c>
      <c r="P51" s="260" t="str">
        <f>IF($B51="","",IF(RIGHT(Premium!$C$28,1)="S",MAX(0,0.8*SUM($E$4:$E51)-SUM($N$4:$N50)),0))</f>
        <v/>
      </c>
      <c r="Q51" s="260" t="str">
        <f t="shared" si="8"/>
        <v/>
      </c>
    </row>
    <row r="52" spans="1:17">
      <c r="A52" s="257"/>
      <c r="B52" s="257" t="str">
        <f t="shared" si="9"/>
        <v/>
      </c>
      <c r="C52" s="257" t="str">
        <f>IF(OR(C51="",C51=(Premium!$G$8-1)),"",$C51+1)</f>
        <v/>
      </c>
      <c r="D52" s="257" t="str">
        <f>IF(OR(C52="",$D51=Premium!$G$8,$D51=""),"",$D51+1)</f>
        <v/>
      </c>
      <c r="E52" s="258" t="str">
        <f>IF($B52="","",IF(Premium!$C$24&lt;&gt;"Lifetime Pay",0,IF($B52&lt;='Premiums Rates'!$AL$27,$E51+IF(Premium!$D$31="N/A",0,Premium!$D$31*VLOOKUP(Premium!$C$25,'Premiums Rates'!$O$111:$P$114,2,0)),0)))</f>
        <v/>
      </c>
      <c r="F52" s="258">
        <f t="shared" si="6"/>
        <v>0</v>
      </c>
      <c r="G52" s="258">
        <f>IF($B52="",0,MIN(VLOOKUP($C52,'Premiums Rates'!$AK$32:$AM$36,3,1)*(1+'Premiums Rates'!$AU$7)^($B52-1)+IF(OR(Premium!$C$9="Joint",Premium!$C$9="Individual Plus Additional Insured"),VLOOKUP($D52,'Premiums Rates'!$AK$32:$AM$36,3,1)*(1+'Premiums Rates'!$AU$7)^($B52-1)),F52))</f>
        <v>0</v>
      </c>
      <c r="H52" s="258">
        <f>IF($C52="",0,IF('Premiums Rates'!$AL$6="None",0,IF('Premiums Rates'!$AL$6="C-Corp",$F52*'Premiums Rates'!$AL$5,$G52*'Premiums Rates'!$AL$5)))</f>
        <v>0</v>
      </c>
      <c r="I52" s="258" t="str">
        <f t="shared" si="7"/>
        <v/>
      </c>
      <c r="J52" s="259" t="str">
        <f>IF($B52="","",ROUND('Premiums Rates'!$J$94*(1+Premium!$C$21)^($B52-1),2))</f>
        <v/>
      </c>
      <c r="K52" s="260" t="str">
        <f>IF($C52="","",IF(AND($B52&gt;='Premiums Rates'!$AL$4,$B52&lt;='Premiums Rates'!$AL$28),$J52*365,0))</f>
        <v/>
      </c>
      <c r="L52" s="260" t="str">
        <f>IF($C52="","",IF(OR(Premium!$C$9="Joint",Premium!$C$9="Individual Plus Additional Insured"),$K52,0))</f>
        <v/>
      </c>
      <c r="M52" s="260" t="str">
        <f>IF($B52="","",IF(OR(Premium!$C$19="No",Premium!$C$18="Lifetime"),0,IF(AND($B52&gt;='Premiums Rates'!$AL$4+VALUE(LEFT(Premium!$C$18,1)),$B52&lt;('Premiums Rates'!$AL$4+2*VALUE(LEFT(Premium!$C$18,1))),OR(Premium!$C$9="Joint",Premium!$C$9="Individual Plus Additional Insured"),Premium!$C$19="Yes"),$J52*365,0)))</f>
        <v/>
      </c>
      <c r="N52" s="260" t="str">
        <f>IF($B52="","",IF(OR(Premium!$C$9="Joint",Premium!$C$9="Individual Plus Additional Insured"),K52+L52+M52,K52+M52))</f>
        <v/>
      </c>
      <c r="O52" s="260" t="str">
        <f>IF($C52="","",IF(Premium!$C$28="None",0,IF(LEFT(Premium!$C$28,4)="FROP",SUM($E$4:$E52),MAX(0,SUM($E$4:$E52)-SUM($N$4:$N51)))))</f>
        <v/>
      </c>
      <c r="P52" s="260" t="str">
        <f>IF($B52="","",IF(RIGHT(Premium!$C$28,1)="S",MAX(0,0.8*SUM($E$4:$E52)-SUM($N$4:$N51)),0))</f>
        <v/>
      </c>
      <c r="Q52" s="260" t="str">
        <f t="shared" si="8"/>
        <v/>
      </c>
    </row>
    <row r="53" spans="1:17">
      <c r="A53" s="257"/>
      <c r="B53" s="257" t="str">
        <f t="shared" si="9"/>
        <v/>
      </c>
      <c r="C53" s="257" t="str">
        <f>IF(OR(C52="",C52=(Premium!$G$8-1)),"",$C52+1)</f>
        <v/>
      </c>
      <c r="D53" s="257" t="str">
        <f>IF(OR(C53="",$D52=Premium!$G$8,$D52=""),"",$D52+1)</f>
        <v/>
      </c>
      <c r="E53" s="258" t="str">
        <f>IF($B53="","",IF(Premium!$C$24&lt;&gt;"Lifetime Pay",0,IF($B53&lt;='Premiums Rates'!$AL$27,$E52+IF(Premium!$D$31="N/A",0,Premium!$D$31*VLOOKUP(Premium!$C$25,'Premiums Rates'!$O$111:$P$114,2,0)),0)))</f>
        <v/>
      </c>
      <c r="F53" s="258">
        <f t="shared" si="6"/>
        <v>0</v>
      </c>
      <c r="G53" s="258">
        <f>IF($B53="",0,MIN(VLOOKUP($C53,'Premiums Rates'!$AK$32:$AM$36,3,1)*(1+'Premiums Rates'!$AU$7)^($B53-1)+IF(OR(Premium!$C$9="Joint",Premium!$C$9="Individual Plus Additional Insured"),VLOOKUP($D53,'Premiums Rates'!$AK$32:$AM$36,3,1)*(1+'Premiums Rates'!$AU$7)^($B53-1)),F53))</f>
        <v>0</v>
      </c>
      <c r="H53" s="258">
        <f>IF($C53="",0,IF('Premiums Rates'!$AL$6="None",0,IF('Premiums Rates'!$AL$6="C-Corp",$F53*'Premiums Rates'!$AL$5,$G53*'Premiums Rates'!$AL$5)))</f>
        <v>0</v>
      </c>
      <c r="I53" s="258" t="str">
        <f t="shared" si="7"/>
        <v/>
      </c>
      <c r="J53" s="259" t="str">
        <f>IF($B53="","",ROUND('Premiums Rates'!$J$94*(1+Premium!$C$21)^($B53-1),2))</f>
        <v/>
      </c>
      <c r="K53" s="260" t="str">
        <f>IF($C53="","",IF(AND($B53&gt;='Premiums Rates'!$AL$4,$B53&lt;='Premiums Rates'!$AL$28),$J53*365,0))</f>
        <v/>
      </c>
      <c r="L53" s="260" t="str">
        <f>IF($C53="","",IF(OR(Premium!$C$9="Joint",Premium!$C$9="Individual Plus Additional Insured"),$K53,0))</f>
        <v/>
      </c>
      <c r="M53" s="260" t="str">
        <f>IF($B53="","",IF(OR(Premium!$C$19="No",Premium!$C$18="Lifetime"),0,IF(AND($B53&gt;='Premiums Rates'!$AL$4+VALUE(LEFT(Premium!$C$18,1)),$B53&lt;('Premiums Rates'!$AL$4+2*VALUE(LEFT(Premium!$C$18,1))),OR(Premium!$C$9="Joint",Premium!$C$9="Individual Plus Additional Insured"),Premium!$C$19="Yes"),$J53*365,0)))</f>
        <v/>
      </c>
      <c r="N53" s="260" t="str">
        <f>IF($B53="","",IF(OR(Premium!$C$9="Joint",Premium!$C$9="Individual Plus Additional Insured"),K53+L53+M53,K53+M53))</f>
        <v/>
      </c>
      <c r="O53" s="260" t="str">
        <f>IF($C53="","",IF(Premium!$C$28="None",0,IF(LEFT(Premium!$C$28,4)="FROP",SUM($E$4:$E53),MAX(0,SUM($E$4:$E53)-SUM($N$4:$N52)))))</f>
        <v/>
      </c>
      <c r="P53" s="260" t="str">
        <f>IF($B53="","",IF(RIGHT(Premium!$C$28,1)="S",MAX(0,0.8*SUM($E$4:$E53)-SUM($N$4:$N52)),0))</f>
        <v/>
      </c>
      <c r="Q53" s="260" t="str">
        <f t="shared" si="8"/>
        <v/>
      </c>
    </row>
    <row r="54" spans="1:17">
      <c r="A54" s="257"/>
      <c r="B54" s="257" t="str">
        <f t="shared" si="9"/>
        <v/>
      </c>
      <c r="C54" s="257" t="str">
        <f>IF(OR(C53="",C53=(Premium!$G$8-1)),"",$C53+1)</f>
        <v/>
      </c>
      <c r="D54" s="257" t="str">
        <f>IF(OR(C54="",$D53=Premium!$G$8,$D53=""),"",$D53+1)</f>
        <v/>
      </c>
      <c r="E54" s="258" t="str">
        <f>IF($B54="","",IF(Premium!$C$24&lt;&gt;"Lifetime Pay",0,IF($B54&lt;='Premiums Rates'!$AL$27,$E53+IF(Premium!$D$31="N/A",0,Premium!$D$31*VLOOKUP(Premium!$C$25,'Premiums Rates'!$O$111:$P$114,2,0)),0)))</f>
        <v/>
      </c>
      <c r="F54" s="258">
        <f t="shared" si="6"/>
        <v>0</v>
      </c>
      <c r="G54" s="258">
        <f>IF($B54="",0,MIN(VLOOKUP($C54,'Premiums Rates'!$AK$32:$AM$36,3,1)*(1+'Premiums Rates'!$AU$7)^($B54-1)+IF(OR(Premium!$C$9="Joint",Premium!$C$9="Individual Plus Additional Insured"),VLOOKUP($D54,'Premiums Rates'!$AK$32:$AM$36,3,1)*(1+'Premiums Rates'!$AU$7)^($B54-1)),F54))</f>
        <v>0</v>
      </c>
      <c r="H54" s="258">
        <f>IF($C54="",0,IF('Premiums Rates'!$AL$6="None",0,IF('Premiums Rates'!$AL$6="C-Corp",$F54*'Premiums Rates'!$AL$5,$G54*'Premiums Rates'!$AL$5)))</f>
        <v>0</v>
      </c>
      <c r="I54" s="258" t="str">
        <f t="shared" si="7"/>
        <v/>
      </c>
      <c r="J54" s="259" t="str">
        <f>IF($B54="","",ROUND('Premiums Rates'!$J$94*(1+Premium!$C$21)^($B54-1),2))</f>
        <v/>
      </c>
      <c r="K54" s="260" t="str">
        <f>IF($C54="","",IF(AND($B54&gt;='Premiums Rates'!$AL$4,$B54&lt;='Premiums Rates'!$AL$28),$J54*365,0))</f>
        <v/>
      </c>
      <c r="L54" s="260" t="str">
        <f>IF($C54="","",IF(OR(Premium!$C$9="Joint",Premium!$C$9="Individual Plus Additional Insured"),$K54,0))</f>
        <v/>
      </c>
      <c r="M54" s="260" t="str">
        <f>IF($B54="","",IF(OR(Premium!$C$19="No",Premium!$C$18="Lifetime"),0,IF(AND($B54&gt;='Premiums Rates'!$AL$4+VALUE(LEFT(Premium!$C$18,1)),$B54&lt;('Premiums Rates'!$AL$4+2*VALUE(LEFT(Premium!$C$18,1))),OR(Premium!$C$9="Joint",Premium!$C$9="Individual Plus Additional Insured"),Premium!$C$19="Yes"),$J54*365,0)))</f>
        <v/>
      </c>
      <c r="N54" s="260" t="str">
        <f>IF($B54="","",IF(OR(Premium!$C$9="Joint",Premium!$C$9="Individual Plus Additional Insured"),K54+L54+M54,K54+M54))</f>
        <v/>
      </c>
      <c r="O54" s="260" t="str">
        <f>IF($C54="","",IF(Premium!$C$28="None",0,IF(LEFT(Premium!$C$28,4)="FROP",SUM($E$4:$E54),MAX(0,SUM($E$4:$E54)-SUM($N$4:$N53)))))</f>
        <v/>
      </c>
      <c r="P54" s="260" t="str">
        <f>IF($B54="","",IF(RIGHT(Premium!$C$28,1)="S",MAX(0,0.8*SUM($E$4:$E54)-SUM($N$4:$N53)),0))</f>
        <v/>
      </c>
      <c r="Q54" s="260" t="str">
        <f t="shared" si="8"/>
        <v/>
      </c>
    </row>
    <row r="55" spans="1:17">
      <c r="A55" s="257"/>
      <c r="B55" s="257" t="str">
        <f t="shared" si="9"/>
        <v/>
      </c>
      <c r="C55" s="257" t="str">
        <f>IF(OR(C54="",C54=(Premium!$G$8-1)),"",$C54+1)</f>
        <v/>
      </c>
      <c r="D55" s="257" t="str">
        <f>IF(OR(C55="",$D54=Premium!$G$8,$D54=""),"",$D54+1)</f>
        <v/>
      </c>
      <c r="E55" s="258" t="str">
        <f>IF($B55="","",IF(Premium!$C$24&lt;&gt;"Lifetime Pay",0,IF($B55&lt;='Premiums Rates'!$AL$27,$E54+IF(Premium!$D$31="N/A",0,Premium!$D$31*VLOOKUP(Premium!$C$25,'Premiums Rates'!$O$111:$P$114,2,0)),0)))</f>
        <v/>
      </c>
      <c r="F55" s="258">
        <f t="shared" si="6"/>
        <v>0</v>
      </c>
      <c r="G55" s="258">
        <f>IF($B55="",0,MIN(VLOOKUP($C55,'Premiums Rates'!$AK$32:$AM$36,3,1)*(1+'Premiums Rates'!$AU$7)^($B55-1)+IF(OR(Premium!$C$9="Joint",Premium!$C$9="Individual Plus Additional Insured"),VLOOKUP($D55,'Premiums Rates'!$AK$32:$AM$36,3,1)*(1+'Premiums Rates'!$AU$7)^($B55-1)),F55))</f>
        <v>0</v>
      </c>
      <c r="H55" s="258">
        <f>IF($C55="",0,IF('Premiums Rates'!$AL$6="None",0,IF('Premiums Rates'!$AL$6="C-Corp",$F55*'Premiums Rates'!$AL$5,$G55*'Premiums Rates'!$AL$5)))</f>
        <v>0</v>
      </c>
      <c r="I55" s="258" t="str">
        <f t="shared" si="7"/>
        <v/>
      </c>
      <c r="J55" s="259" t="str">
        <f>IF($B55="","",ROUND('Premiums Rates'!$J$94*(1+Premium!$C$21)^($B55-1),2))</f>
        <v/>
      </c>
      <c r="K55" s="260" t="str">
        <f>IF($C55="","",IF(AND($B55&gt;='Premiums Rates'!$AL$4,$B55&lt;='Premiums Rates'!$AL$28),$J55*365,0))</f>
        <v/>
      </c>
      <c r="L55" s="260" t="str">
        <f>IF($C55="","",IF(OR(Premium!$C$9="Joint",Premium!$C$9="Individual Plus Additional Insured"),$K55,0))</f>
        <v/>
      </c>
      <c r="M55" s="260" t="str">
        <f>IF($B55="","",IF(OR(Premium!$C$19="No",Premium!$C$18="Lifetime"),0,IF(AND($B55&gt;='Premiums Rates'!$AL$4+VALUE(LEFT(Premium!$C$18,1)),$B55&lt;('Premiums Rates'!$AL$4+2*VALUE(LEFT(Premium!$C$18,1))),OR(Premium!$C$9="Joint",Premium!$C$9="Individual Plus Additional Insured"),Premium!$C$19="Yes"),$J55*365,0)))</f>
        <v/>
      </c>
      <c r="N55" s="260" t="str">
        <f>IF($B55="","",IF(OR(Premium!$C$9="Joint",Premium!$C$9="Individual Plus Additional Insured"),K55+L55+M55,K55+M55))</f>
        <v/>
      </c>
      <c r="O55" s="260" t="str">
        <f>IF($C55="","",IF(Premium!$C$28="None",0,IF(LEFT(Premium!$C$28,4)="FROP",SUM($E$4:$E55),MAX(0,SUM($E$4:$E55)-SUM($N$4:$N54)))))</f>
        <v/>
      </c>
      <c r="P55" s="260" t="str">
        <f>IF($B55="","",IF(RIGHT(Premium!$C$28,1)="S",MAX(0,0.8*SUM($E$4:$E55)-SUM($N$4:$N54)),0))</f>
        <v/>
      </c>
      <c r="Q55" s="260" t="str">
        <f t="shared" si="8"/>
        <v/>
      </c>
    </row>
    <row r="56" spans="1:17">
      <c r="A56" s="257"/>
      <c r="B56" s="257" t="str">
        <f t="shared" si="9"/>
        <v/>
      </c>
      <c r="C56" s="257" t="str">
        <f>IF(OR(C55="",C55=(Premium!$G$8-1)),"",$C55+1)</f>
        <v/>
      </c>
      <c r="D56" s="257" t="str">
        <f>IF(OR(C56="",$D55=Premium!$G$8,$D55=""),"",$D55+1)</f>
        <v/>
      </c>
      <c r="E56" s="258" t="str">
        <f>IF($B56="","",IF(Premium!$C$24&lt;&gt;"Lifetime Pay",0,IF($B56&lt;='Premiums Rates'!$AL$27,$E55+IF(Premium!$D$31="N/A",0,Premium!$D$31*VLOOKUP(Premium!$C$25,'Premiums Rates'!$O$111:$P$114,2,0)),0)))</f>
        <v/>
      </c>
      <c r="F56" s="258">
        <f t="shared" si="6"/>
        <v>0</v>
      </c>
      <c r="G56" s="258">
        <f>IF($B56="",0,MIN(VLOOKUP($C56,'Premiums Rates'!$AK$32:$AM$36,3,1)*(1+'Premiums Rates'!$AU$7)^($B56-1)+IF(OR(Premium!$C$9="Joint",Premium!$C$9="Individual Plus Additional Insured"),VLOOKUP($D56,'Premiums Rates'!$AK$32:$AM$36,3,1)*(1+'Premiums Rates'!$AU$7)^($B56-1)),F56))</f>
        <v>0</v>
      </c>
      <c r="H56" s="258">
        <f>IF($C56="",0,IF('Premiums Rates'!$AL$6="None",0,IF('Premiums Rates'!$AL$6="C-Corp",$F56*'Premiums Rates'!$AL$5,$G56*'Premiums Rates'!$AL$5)))</f>
        <v>0</v>
      </c>
      <c r="I56" s="258" t="str">
        <f t="shared" si="7"/>
        <v/>
      </c>
      <c r="J56" s="259" t="str">
        <f>IF($B56="","",ROUND('Premiums Rates'!$J$94*(1+Premium!$C$21)^($B56-1),2))</f>
        <v/>
      </c>
      <c r="K56" s="260" t="str">
        <f>IF($C56="","",IF(AND($B56&gt;='Premiums Rates'!$AL$4,$B56&lt;='Premiums Rates'!$AL$28),$J56*365,0))</f>
        <v/>
      </c>
      <c r="L56" s="260" t="str">
        <f>IF($C56="","",IF(OR(Premium!$C$9="Joint",Premium!$C$9="Individual Plus Additional Insured"),$K56,0))</f>
        <v/>
      </c>
      <c r="M56" s="260" t="str">
        <f>IF($B56="","",IF(OR(Premium!$C$19="No",Premium!$C$18="Lifetime"),0,IF(AND($B56&gt;='Premiums Rates'!$AL$4+VALUE(LEFT(Premium!$C$18,1)),$B56&lt;('Premiums Rates'!$AL$4+2*VALUE(LEFT(Premium!$C$18,1))),OR(Premium!$C$9="Joint",Premium!$C$9="Individual Plus Additional Insured"),Premium!$C$19="Yes"),$J56*365,0)))</f>
        <v/>
      </c>
      <c r="N56" s="260" t="str">
        <f>IF($B56="","",IF(OR(Premium!$C$9="Joint",Premium!$C$9="Individual Plus Additional Insured"),K56+L56+M56,K56+M56))</f>
        <v/>
      </c>
      <c r="O56" s="260" t="str">
        <f>IF($C56="","",IF(Premium!$C$28="None",0,IF(LEFT(Premium!$C$28,4)="FROP",SUM($E$4:$E56),MAX(0,SUM($E$4:$E56)-SUM($N$4:$N55)))))</f>
        <v/>
      </c>
      <c r="P56" s="260" t="str">
        <f>IF($B56="","",IF(RIGHT(Premium!$C$28,1)="S",MAX(0,0.8*SUM($E$4:$E56)-SUM($N$4:$N55)),0))</f>
        <v/>
      </c>
      <c r="Q56" s="260" t="str">
        <f t="shared" si="8"/>
        <v/>
      </c>
    </row>
    <row r="57" spans="1:17">
      <c r="A57" s="257"/>
      <c r="B57" s="257" t="str">
        <f t="shared" si="9"/>
        <v/>
      </c>
      <c r="C57" s="257" t="str">
        <f>IF(OR(C56="",C56=(Premium!$G$8-1)),"",$C56+1)</f>
        <v/>
      </c>
      <c r="D57" s="257" t="str">
        <f>IF(OR(C57="",$D56=Premium!$G$8,$D56=""),"",$D56+1)</f>
        <v/>
      </c>
      <c r="E57" s="258" t="str">
        <f>IF($B57="","",IF(Premium!$C$24&lt;&gt;"Lifetime Pay",0,IF($B57&lt;='Premiums Rates'!$AL$27,$E56+IF(Premium!$D$31="N/A",0,Premium!$D$31*VLOOKUP(Premium!$C$25,'Premiums Rates'!$O$111:$P$114,2,0)),0)))</f>
        <v/>
      </c>
      <c r="F57" s="258">
        <f t="shared" si="6"/>
        <v>0</v>
      </c>
      <c r="G57" s="258">
        <f>IF($B57="",0,MIN(VLOOKUP($C57,'Premiums Rates'!$AK$32:$AM$36,3,1)*(1+'Premiums Rates'!$AU$7)^($B57-1)+IF(OR(Premium!$C$9="Joint",Premium!$C$9="Individual Plus Additional Insured"),VLOOKUP($D57,'Premiums Rates'!$AK$32:$AM$36,3,1)*(1+'Premiums Rates'!$AU$7)^($B57-1)),F57))</f>
        <v>0</v>
      </c>
      <c r="H57" s="258">
        <f>IF($C57="",0,IF('Premiums Rates'!$AL$6="None",0,IF('Premiums Rates'!$AL$6="C-Corp",$F57*'Premiums Rates'!$AL$5,$G57*'Premiums Rates'!$AL$5)))</f>
        <v>0</v>
      </c>
      <c r="I57" s="258" t="str">
        <f t="shared" si="7"/>
        <v/>
      </c>
      <c r="J57" s="259" t="str">
        <f>IF($B57="","",ROUND('Premiums Rates'!$J$94*(1+Premium!$C$21)^($B57-1),2))</f>
        <v/>
      </c>
      <c r="K57" s="260" t="str">
        <f>IF($C57="","",IF(AND($B57&gt;='Premiums Rates'!$AL$4,$B57&lt;='Premiums Rates'!$AL$28),$J57*365,0))</f>
        <v/>
      </c>
      <c r="L57" s="260" t="str">
        <f>IF($C57="","",IF(OR(Premium!$C$9="Joint",Premium!$C$9="Individual Plus Additional Insured"),$K57,0))</f>
        <v/>
      </c>
      <c r="M57" s="260" t="str">
        <f>IF($B57="","",IF(OR(Premium!$C$19="No",Premium!$C$18="Lifetime"),0,IF(AND($B57&gt;='Premiums Rates'!$AL$4+VALUE(LEFT(Premium!$C$18,1)),$B57&lt;('Premiums Rates'!$AL$4+2*VALUE(LEFT(Premium!$C$18,1))),OR(Premium!$C$9="Joint",Premium!$C$9="Individual Plus Additional Insured"),Premium!$C$19="Yes"),$J57*365,0)))</f>
        <v/>
      </c>
      <c r="N57" s="260" t="str">
        <f>IF($B57="","",IF(OR(Premium!$C$9="Joint",Premium!$C$9="Individual Plus Additional Insured"),K57+L57+M57,K57+M57))</f>
        <v/>
      </c>
      <c r="O57" s="260" t="str">
        <f>IF($C57="","",IF(Premium!$C$28="None",0,IF(LEFT(Premium!$C$28,4)="FROP",SUM($E$4:$E57),MAX(0,SUM($E$4:$E57)-SUM($N$4:$N56)))))</f>
        <v/>
      </c>
      <c r="P57" s="260" t="str">
        <f>IF($B57="","",IF(RIGHT(Premium!$C$28,1)="S",MAX(0,0.8*SUM($E$4:$E57)-SUM($N$4:$N56)),0))</f>
        <v/>
      </c>
      <c r="Q57" s="260" t="str">
        <f t="shared" si="8"/>
        <v/>
      </c>
    </row>
    <row r="58" spans="1:17">
      <c r="A58" s="257"/>
      <c r="B58" s="257" t="str">
        <f t="shared" si="9"/>
        <v/>
      </c>
      <c r="C58" s="257" t="str">
        <f>IF(OR(C57="",C57=(Premium!$G$8-1)),"",$C57+1)</f>
        <v/>
      </c>
      <c r="D58" s="257" t="str">
        <f>IF(OR(C58="",$D57=Premium!$G$8,$D57=""),"",$D57+1)</f>
        <v/>
      </c>
      <c r="E58" s="258" t="str">
        <f>IF($B58="","",IF(Premium!$C$24&lt;&gt;"Lifetime Pay",0,IF($B58&lt;='Premiums Rates'!$AL$27,$E57+IF(Premium!$D$31="N/A",0,Premium!$D$31*VLOOKUP(Premium!$C$25,'Premiums Rates'!$O$111:$P$114,2,0)),0)))</f>
        <v/>
      </c>
      <c r="F58" s="258">
        <f t="shared" si="6"/>
        <v>0</v>
      </c>
      <c r="G58" s="258">
        <f>IF($B58="",0,MIN(VLOOKUP($C58,'Premiums Rates'!$AK$32:$AM$36,3,1)*(1+'Premiums Rates'!$AU$7)^($B58-1)+IF(OR(Premium!$C$9="Joint",Premium!$C$9="Individual Plus Additional Insured"),VLOOKUP($D58,'Premiums Rates'!$AK$32:$AM$36,3,1)*(1+'Premiums Rates'!$AU$7)^($B58-1)),F58))</f>
        <v>0</v>
      </c>
      <c r="H58" s="258">
        <f>IF($C58="",0,IF('Premiums Rates'!$AL$6="None",0,IF('Premiums Rates'!$AL$6="C-Corp",$F58*'Premiums Rates'!$AL$5,$G58*'Premiums Rates'!$AL$5)))</f>
        <v>0</v>
      </c>
      <c r="I58" s="258" t="str">
        <f t="shared" si="7"/>
        <v/>
      </c>
      <c r="J58" s="259" t="str">
        <f>IF($B58="","",ROUND('Premiums Rates'!$J$94*(1+Premium!$C$21)^($B58-1),2))</f>
        <v/>
      </c>
      <c r="K58" s="260" t="str">
        <f>IF($C58="","",IF(AND($B58&gt;='Premiums Rates'!$AL$4,$B58&lt;='Premiums Rates'!$AL$28),$J58*365,0))</f>
        <v/>
      </c>
      <c r="L58" s="260" t="str">
        <f>IF($C58="","",IF(OR(Premium!$C$9="Joint",Premium!$C$9="Individual Plus Additional Insured"),$K58,0))</f>
        <v/>
      </c>
      <c r="M58" s="260" t="str">
        <f>IF($B58="","",IF(OR(Premium!$C$19="No",Premium!$C$18="Lifetime"),0,IF(AND($B58&gt;='Premiums Rates'!$AL$4+VALUE(LEFT(Premium!$C$18,1)),$B58&lt;('Premiums Rates'!$AL$4+2*VALUE(LEFT(Premium!$C$18,1))),OR(Premium!$C$9="Joint",Premium!$C$9="Individual Plus Additional Insured"),Premium!$C$19="Yes"),$J58*365,0)))</f>
        <v/>
      </c>
      <c r="N58" s="260" t="str">
        <f>IF($B58="","",IF(OR(Premium!$C$9="Joint",Premium!$C$9="Individual Plus Additional Insured"),K58+L58+M58,K58+M58))</f>
        <v/>
      </c>
      <c r="O58" s="260" t="str">
        <f>IF($C58="","",IF(Premium!$C$28="None",0,IF(LEFT(Premium!$C$28,4)="FROP",SUM($E$4:$E58),MAX(0,SUM($E$4:$E58)-SUM($N$4:$N57)))))</f>
        <v/>
      </c>
      <c r="P58" s="260" t="str">
        <f>IF($B58="","",IF(RIGHT(Premium!$C$28,1)="S",MAX(0,0.8*SUM($E$4:$E58)-SUM($N$4:$N57)),0))</f>
        <v/>
      </c>
      <c r="Q58" s="260" t="str">
        <f t="shared" si="8"/>
        <v/>
      </c>
    </row>
    <row r="59" spans="1:17">
      <c r="A59" s="257"/>
      <c r="B59" s="257" t="str">
        <f t="shared" si="9"/>
        <v/>
      </c>
      <c r="C59" s="257" t="str">
        <f>IF(OR(C58="",C58=(Premium!$G$8-1)),"",$C58+1)</f>
        <v/>
      </c>
      <c r="D59" s="257" t="str">
        <f>IF(OR(C59="",$D58=Premium!$G$8,$D58=""),"",$D58+1)</f>
        <v/>
      </c>
      <c r="E59" s="258" t="str">
        <f>IF($B59="","",IF(Premium!$C$24&lt;&gt;"Lifetime Pay",0,IF($B59&lt;='Premiums Rates'!$AL$27,$E58+IF(Premium!$D$31="N/A",0,Premium!$D$31*VLOOKUP(Premium!$C$25,'Premiums Rates'!$O$111:$P$114,2,0)),0)))</f>
        <v/>
      </c>
      <c r="F59" s="258">
        <f t="shared" si="6"/>
        <v>0</v>
      </c>
      <c r="G59" s="258">
        <f>IF($B59="",0,MIN(VLOOKUP($C59,'Premiums Rates'!$AK$32:$AM$36,3,1)*(1+'Premiums Rates'!$AU$7)^($B59-1)+IF(OR(Premium!$C$9="Joint",Premium!$C$9="Individual Plus Additional Insured"),VLOOKUP($D59,'Premiums Rates'!$AK$32:$AM$36,3,1)*(1+'Premiums Rates'!$AU$7)^($B59-1)),F59))</f>
        <v>0</v>
      </c>
      <c r="H59" s="258">
        <f>IF($C59="",0,IF('Premiums Rates'!$AL$6="None",0,IF('Premiums Rates'!$AL$6="C-Corp",$F59*'Premiums Rates'!$AL$5,$G59*'Premiums Rates'!$AL$5)))</f>
        <v>0</v>
      </c>
      <c r="I59" s="258" t="str">
        <f t="shared" si="7"/>
        <v/>
      </c>
      <c r="J59" s="259" t="str">
        <f>IF($B59="","",ROUND('Premiums Rates'!$J$94*(1+Premium!$C$21)^($B59-1),2))</f>
        <v/>
      </c>
      <c r="K59" s="260" t="str">
        <f>IF($C59="","",IF(AND($B59&gt;='Premiums Rates'!$AL$4,$B59&lt;='Premiums Rates'!$AL$28),$J59*365,0))</f>
        <v/>
      </c>
      <c r="L59" s="260" t="str">
        <f>IF($C59="","",IF(OR(Premium!$C$9="Joint",Premium!$C$9="Individual Plus Additional Insured"),$K59,0))</f>
        <v/>
      </c>
      <c r="M59" s="260" t="str">
        <f>IF($B59="","",IF(OR(Premium!$C$19="No",Premium!$C$18="Lifetime"),0,IF(AND($B59&gt;='Premiums Rates'!$AL$4+VALUE(LEFT(Premium!$C$18,1)),$B59&lt;('Premiums Rates'!$AL$4+2*VALUE(LEFT(Premium!$C$18,1))),OR(Premium!$C$9="Joint",Premium!$C$9="Individual Plus Additional Insured"),Premium!$C$19="Yes"),$J59*365,0)))</f>
        <v/>
      </c>
      <c r="N59" s="260" t="str">
        <f>IF($B59="","",IF(OR(Premium!$C$9="Joint",Premium!$C$9="Individual Plus Additional Insured"),K59+L59+M59,K59+M59))</f>
        <v/>
      </c>
      <c r="O59" s="260" t="str">
        <f>IF($C59="","",IF(Premium!$C$28="None",0,IF(LEFT(Premium!$C$28,4)="FROP",SUM($E$4:$E59),MAX(0,SUM($E$4:$E59)-SUM($N$4:$N58)))))</f>
        <v/>
      </c>
      <c r="P59" s="260" t="str">
        <f>IF($B59="","",IF(RIGHT(Premium!$C$28,1)="S",MAX(0,0.8*SUM($E$4:$E59)-SUM($N$4:$N58)),0))</f>
        <v/>
      </c>
      <c r="Q59" s="260" t="str">
        <f t="shared" si="8"/>
        <v/>
      </c>
    </row>
    <row r="60" spans="1:17">
      <c r="A60" s="257"/>
      <c r="B60" s="257" t="str">
        <f t="shared" si="9"/>
        <v/>
      </c>
      <c r="C60" s="257" t="str">
        <f>IF(OR(C59="",C59=(Premium!$G$8-1)),"",$C59+1)</f>
        <v/>
      </c>
      <c r="D60" s="257" t="str">
        <f>IF(OR(C60="",$D59=Premium!$G$8,$D59=""),"",$D59+1)</f>
        <v/>
      </c>
      <c r="E60" s="258" t="str">
        <f>IF($B60="","",IF(Premium!$C$24&lt;&gt;"Lifetime Pay",0,IF($B60&lt;='Premiums Rates'!$AL$27,$E59+IF(Premium!$D$31="N/A",0,Premium!$D$31*VLOOKUP(Premium!$C$25,'Premiums Rates'!$O$111:$P$114,2,0)),0)))</f>
        <v/>
      </c>
      <c r="F60" s="258">
        <f t="shared" si="6"/>
        <v>0</v>
      </c>
      <c r="G60" s="258">
        <f>IF($B60="",0,MIN(VLOOKUP($C60,'Premiums Rates'!$AK$32:$AM$36,3,1)*(1+'Premiums Rates'!$AU$7)^($B60-1)+IF(OR(Premium!$C$9="Joint",Premium!$C$9="Individual Plus Additional Insured"),VLOOKUP($D60,'Premiums Rates'!$AK$32:$AM$36,3,1)*(1+'Premiums Rates'!$AU$7)^($B60-1)),F60))</f>
        <v>0</v>
      </c>
      <c r="H60" s="258">
        <f>IF($C60="",0,IF('Premiums Rates'!$AL$6="None",0,IF('Premiums Rates'!$AL$6="C-Corp",$F60*'Premiums Rates'!$AL$5,$G60*'Premiums Rates'!$AL$5)))</f>
        <v>0</v>
      </c>
      <c r="I60" s="258" t="str">
        <f t="shared" si="7"/>
        <v/>
      </c>
      <c r="J60" s="259" t="str">
        <f>IF($B60="","",ROUND('Premiums Rates'!$J$94*(1+Premium!$C$21)^($B60-1),2))</f>
        <v/>
      </c>
      <c r="K60" s="260" t="str">
        <f>IF($C60="","",IF(AND($B60&gt;='Premiums Rates'!$AL$4,$B60&lt;='Premiums Rates'!$AL$28),$J60*365,0))</f>
        <v/>
      </c>
      <c r="L60" s="260" t="str">
        <f>IF($C60="","",IF(OR(Premium!$C$9="Joint",Premium!$C$9="Individual Plus Additional Insured"),$K60,0))</f>
        <v/>
      </c>
      <c r="M60" s="260" t="str">
        <f>IF($B60="","",IF(OR(Premium!$C$19="No",Premium!$C$18="Lifetime"),0,IF(AND($B60&gt;='Premiums Rates'!$AL$4+VALUE(LEFT(Premium!$C$18,1)),$B60&lt;('Premiums Rates'!$AL$4+2*VALUE(LEFT(Premium!$C$18,1))),OR(Premium!$C$9="Joint",Premium!$C$9="Individual Plus Additional Insured"),Premium!$C$19="Yes"),$J60*365,0)))</f>
        <v/>
      </c>
      <c r="N60" s="260" t="str">
        <f>IF($B60="","",IF(OR(Premium!$C$9="Joint",Premium!$C$9="Individual Plus Additional Insured"),K60+L60+M60,K60+M60))</f>
        <v/>
      </c>
      <c r="O60" s="260" t="str">
        <f>IF($C60="","",IF(Premium!$C$28="None",0,IF(LEFT(Premium!$C$28,4)="FROP",SUM($E$4:$E60),MAX(0,SUM($E$4:$E60)-SUM($N$4:$N59)))))</f>
        <v/>
      </c>
      <c r="P60" s="260" t="str">
        <f>IF($B60="","",IF(RIGHT(Premium!$C$28,1)="S",MAX(0,0.8*SUM($E$4:$E60)-SUM($N$4:$N59)),0))</f>
        <v/>
      </c>
      <c r="Q60" s="260" t="str">
        <f t="shared" si="8"/>
        <v/>
      </c>
    </row>
    <row r="61" spans="1:17">
      <c r="A61" s="257"/>
      <c r="B61" s="257" t="str">
        <f t="shared" si="9"/>
        <v/>
      </c>
      <c r="C61" s="257" t="str">
        <f>IF(OR(C60="",C60=(Premium!$G$8-1)),"",$C60+1)</f>
        <v/>
      </c>
      <c r="D61" s="257" t="str">
        <f>IF(OR(C61="",$D60=Premium!$G$8,$D60=""),"",$D60+1)</f>
        <v/>
      </c>
      <c r="E61" s="258" t="str">
        <f>IF($B61="","",IF(Premium!$C$24&lt;&gt;"Lifetime Pay",0,IF($B61&lt;='Premiums Rates'!$AL$27,$E60+IF(Premium!$D$31="N/A",0,Premium!$D$31*VLOOKUP(Premium!$C$25,'Premiums Rates'!$O$111:$P$114,2,0)),0)))</f>
        <v/>
      </c>
      <c r="F61" s="258">
        <f t="shared" si="6"/>
        <v>0</v>
      </c>
      <c r="G61" s="258">
        <f>IF($B61="",0,MIN(VLOOKUP($C61,'Premiums Rates'!$AK$32:$AM$36,3,1)*(1+'Premiums Rates'!$AU$7)^($B61-1)+IF(OR(Premium!$C$9="Joint",Premium!$C$9="Individual Plus Additional Insured"),VLOOKUP($D61,'Premiums Rates'!$AK$32:$AM$36,3,1)*(1+'Premiums Rates'!$AU$7)^($B61-1)),F61))</f>
        <v>0</v>
      </c>
      <c r="H61" s="258">
        <f>IF($C61="",0,IF('Premiums Rates'!$AL$6="None",0,IF('Premiums Rates'!$AL$6="C-Corp",$F61*'Premiums Rates'!$AL$5,$G61*'Premiums Rates'!$AL$5)))</f>
        <v>0</v>
      </c>
      <c r="I61" s="258" t="str">
        <f t="shared" si="7"/>
        <v/>
      </c>
      <c r="J61" s="259" t="str">
        <f>IF($B61="","",ROUND('Premiums Rates'!$J$94*(1+Premium!$C$21)^($B61-1),2))</f>
        <v/>
      </c>
      <c r="K61" s="260" t="str">
        <f>IF($C61="","",IF(AND($B61&gt;='Premiums Rates'!$AL$4,$B61&lt;='Premiums Rates'!$AL$28),$J61*365,0))</f>
        <v/>
      </c>
      <c r="L61" s="260" t="str">
        <f>IF($C61="","",IF(OR(Premium!$C$9="Joint",Premium!$C$9="Individual Plus Additional Insured"),$K61,0))</f>
        <v/>
      </c>
      <c r="M61" s="260" t="str">
        <f>IF($B61="","",IF(OR(Premium!$C$19="No",Premium!$C$18="Lifetime"),0,IF(AND($B61&gt;='Premiums Rates'!$AL$4+VALUE(LEFT(Premium!$C$18,1)),$B61&lt;('Premiums Rates'!$AL$4+2*VALUE(LEFT(Premium!$C$18,1))),OR(Premium!$C$9="Joint",Premium!$C$9="Individual Plus Additional Insured"),Premium!$C$19="Yes"),$J61*365,0)))</f>
        <v/>
      </c>
      <c r="N61" s="260" t="str">
        <f>IF($B61="","",IF(OR(Premium!$C$9="Joint",Premium!$C$9="Individual Plus Additional Insured"),K61+L61+M61,K61+M61))</f>
        <v/>
      </c>
      <c r="O61" s="260" t="str">
        <f>IF($C61="","",IF(Premium!$C$28="None",0,IF(LEFT(Premium!$C$28,4)="FROP",SUM($E$4:$E61),MAX(0,SUM($E$4:$E61)-SUM($N$4:$N60)))))</f>
        <v/>
      </c>
      <c r="P61" s="260" t="str">
        <f>IF($B61="","",IF(RIGHT(Premium!$C$28,1)="S",MAX(0,0.8*SUM($E$4:$E61)-SUM($N$4:$N60)),0))</f>
        <v/>
      </c>
      <c r="Q61" s="260" t="str">
        <f t="shared" si="8"/>
        <v/>
      </c>
    </row>
    <row r="62" spans="1:17">
      <c r="A62" s="257"/>
      <c r="B62" s="257" t="str">
        <f t="shared" si="9"/>
        <v/>
      </c>
      <c r="C62" s="257" t="str">
        <f>IF(OR(C61="",C61=(Premium!$G$8-1)),"",$C61+1)</f>
        <v/>
      </c>
      <c r="D62" s="257" t="str">
        <f>IF(OR(C62="",$D61=Premium!$G$8,$D61=""),"",$D61+1)</f>
        <v/>
      </c>
      <c r="E62" s="258" t="str">
        <f>IF($B62="","",IF(Premium!$C$24&lt;&gt;"Lifetime Pay",0,IF($B62&lt;='Premiums Rates'!$AL$27,$E61+IF(Premium!$D$31="N/A",0,Premium!$D$31*VLOOKUP(Premium!$C$25,'Premiums Rates'!$O$111:$P$114,2,0)),0)))</f>
        <v/>
      </c>
      <c r="F62" s="258">
        <f t="shared" si="6"/>
        <v>0</v>
      </c>
      <c r="G62" s="258">
        <f>IF($B62="",0,MIN(VLOOKUP($C62,'Premiums Rates'!$AK$32:$AM$36,3,1)*(1+'Premiums Rates'!$AU$7)^($B62-1)+IF(OR(Premium!$C$9="Joint",Premium!$C$9="Individual Plus Additional Insured"),VLOOKUP($D62,'Premiums Rates'!$AK$32:$AM$36,3,1)*(1+'Premiums Rates'!$AU$7)^($B62-1)),F62))</f>
        <v>0</v>
      </c>
      <c r="H62" s="258">
        <f>IF($C62="",0,IF('Premiums Rates'!$AL$6="None",0,IF('Premiums Rates'!$AL$6="C-Corp",$F62*'Premiums Rates'!$AL$5,$G62*'Premiums Rates'!$AL$5)))</f>
        <v>0</v>
      </c>
      <c r="I62" s="258" t="str">
        <f t="shared" si="7"/>
        <v/>
      </c>
      <c r="J62" s="259" t="str">
        <f>IF($B62="","",ROUND('Premiums Rates'!$J$94*(1+Premium!$C$21)^($B62-1),2))</f>
        <v/>
      </c>
      <c r="K62" s="260" t="str">
        <f>IF($C62="","",IF(AND($B62&gt;='Premiums Rates'!$AL$4,$B62&lt;='Premiums Rates'!$AL$28),$J62*365,0))</f>
        <v/>
      </c>
      <c r="L62" s="260" t="str">
        <f>IF($C62="","",IF(OR(Premium!$C$9="Joint",Premium!$C$9="Individual Plus Additional Insured"),$K62,0))</f>
        <v/>
      </c>
      <c r="M62" s="260" t="str">
        <f>IF($B62="","",IF(OR(Premium!$C$19="No",Premium!$C$18="Lifetime"),0,IF(AND($B62&gt;='Premiums Rates'!$AL$4+VALUE(LEFT(Premium!$C$18,1)),$B62&lt;('Premiums Rates'!$AL$4+2*VALUE(LEFT(Premium!$C$18,1))),OR(Premium!$C$9="Joint",Premium!$C$9="Individual Plus Additional Insured"),Premium!$C$19="Yes"),$J62*365,0)))</f>
        <v/>
      </c>
      <c r="N62" s="260" t="str">
        <f>IF($B62="","",IF(OR(Premium!$C$9="Joint",Premium!$C$9="Individual Plus Additional Insured"),K62+L62+M62,K62+M62))</f>
        <v/>
      </c>
      <c r="O62" s="260" t="str">
        <f>IF($C62="","",IF(Premium!$C$28="None",0,IF(LEFT(Premium!$C$28,4)="FROP",SUM($E$4:$E62),MAX(0,SUM($E$4:$E62)-SUM($N$4:$N61)))))</f>
        <v/>
      </c>
      <c r="P62" s="260" t="str">
        <f>IF($B62="","",IF(RIGHT(Premium!$C$28,1)="S",MAX(0,0.8*SUM($E$4:$E62)-SUM($N$4:$N61)),0))</f>
        <v/>
      </c>
      <c r="Q62" s="260" t="str">
        <f t="shared" si="8"/>
        <v/>
      </c>
    </row>
    <row r="63" spans="1:17">
      <c r="A63" s="257"/>
      <c r="B63" s="257" t="str">
        <f t="shared" si="9"/>
        <v/>
      </c>
      <c r="C63" s="257" t="str">
        <f>IF(OR(C62="",C62=(Premium!$G$8-1)),"",$C62+1)</f>
        <v/>
      </c>
      <c r="D63" s="257" t="str">
        <f>IF(OR(C63="",$D62=Premium!$G$8,$D62=""),"",$D62+1)</f>
        <v/>
      </c>
      <c r="E63" s="258" t="str">
        <f>IF($B63="","",IF(Premium!$C$24&lt;&gt;"Lifetime Pay",0,IF($B63&lt;='Premiums Rates'!$AL$27,$E62+IF(Premium!$D$31="N/A",0,Premium!$D$31*VLOOKUP(Premium!$C$25,'Premiums Rates'!$O$111:$P$114,2,0)),0)))</f>
        <v/>
      </c>
      <c r="F63" s="258">
        <f t="shared" si="6"/>
        <v>0</v>
      </c>
      <c r="G63" s="258">
        <f>IF($B63="",0,MIN(VLOOKUP($C63,'Premiums Rates'!$AK$32:$AM$36,3,1)*(1+'Premiums Rates'!$AU$7)^($B63-1)+IF(OR(Premium!$C$9="Joint",Premium!$C$9="Individual Plus Additional Insured"),VLOOKUP($D63,'Premiums Rates'!$AK$32:$AM$36,3,1)*(1+'Premiums Rates'!$AU$7)^($B63-1)),F63))</f>
        <v>0</v>
      </c>
      <c r="H63" s="258">
        <f>IF($C63="",0,IF('Premiums Rates'!$AL$6="None",0,IF('Premiums Rates'!$AL$6="C-Corp",$F63*'Premiums Rates'!$AL$5,$G63*'Premiums Rates'!$AL$5)))</f>
        <v>0</v>
      </c>
      <c r="I63" s="258" t="str">
        <f t="shared" si="7"/>
        <v/>
      </c>
      <c r="J63" s="259" t="str">
        <f>IF($B63="","",ROUND('Premiums Rates'!$J$94*(1+Premium!$C$21)^($B63-1),2))</f>
        <v/>
      </c>
      <c r="K63" s="260" t="str">
        <f>IF($C63="","",IF(AND($B63&gt;='Premiums Rates'!$AL$4,$B63&lt;='Premiums Rates'!$AL$28),$J63*365,0))</f>
        <v/>
      </c>
      <c r="L63" s="260" t="str">
        <f>IF($C63="","",IF(OR(Premium!$C$9="Joint",Premium!$C$9="Individual Plus Additional Insured"),$K63,0))</f>
        <v/>
      </c>
      <c r="M63" s="260" t="str">
        <f>IF($B63="","",IF(OR(Premium!$C$19="No",Premium!$C$18="Lifetime"),0,IF(AND($B63&gt;='Premiums Rates'!$AL$4+VALUE(LEFT(Premium!$C$18,1)),$B63&lt;('Premiums Rates'!$AL$4+2*VALUE(LEFT(Premium!$C$18,1))),OR(Premium!$C$9="Joint",Premium!$C$9="Individual Plus Additional Insured"),Premium!$C$19="Yes"),$J63*365,0)))</f>
        <v/>
      </c>
      <c r="N63" s="260" t="str">
        <f>IF($B63="","",IF(OR(Premium!$C$9="Joint",Premium!$C$9="Individual Plus Additional Insured"),K63+L63+M63,K63+M63))</f>
        <v/>
      </c>
      <c r="O63" s="260" t="str">
        <f>IF($C63="","",IF(Premium!$C$28="None",0,IF(LEFT(Premium!$C$28,4)="FROP",SUM($E$4:$E63),MAX(0,SUM($E$4:$E63)-SUM($N$4:$N62)))))</f>
        <v/>
      </c>
      <c r="P63" s="260" t="str">
        <f>IF($B63="","",IF(RIGHT(Premium!$C$28,1)="S",MAX(0,0.8*SUM($E$4:$E63)-SUM($N$4:$N62)),0))</f>
        <v/>
      </c>
      <c r="Q63" s="260" t="str">
        <f t="shared" si="8"/>
        <v/>
      </c>
    </row>
    <row r="64" spans="1:17">
      <c r="A64" s="257"/>
      <c r="B64" s="257" t="str">
        <f t="shared" si="9"/>
        <v/>
      </c>
      <c r="C64" s="257" t="str">
        <f>IF(OR(C63="",C63=(Premium!$G$8-1)),"",$C63+1)</f>
        <v/>
      </c>
      <c r="D64" s="257" t="str">
        <f>IF(OR(C64="",$D63=Premium!$G$8,$D63=""),"",$D63+1)</f>
        <v/>
      </c>
      <c r="E64" s="258" t="str">
        <f>IF($B64="","",IF(Premium!$C$24&lt;&gt;"Lifetime Pay",0,IF($B64&lt;='Premiums Rates'!$AL$27,$E63+IF(Premium!$D$31="N/A",0,Premium!$D$31*VLOOKUP(Premium!$C$25,'Premiums Rates'!$O$111:$P$114,2,0)),0)))</f>
        <v/>
      </c>
      <c r="F64" s="258">
        <f t="shared" si="6"/>
        <v>0</v>
      </c>
      <c r="G64" s="258">
        <f>IF($B64="",0,MIN(VLOOKUP($C64,'Premiums Rates'!$AK$32:$AM$36,3,1)*(1+'Premiums Rates'!$AU$7)^($B64-1)+IF(OR(Premium!$C$9="Joint",Premium!$C$9="Individual Plus Additional Insured"),VLOOKUP($D64,'Premiums Rates'!$AK$32:$AM$36,3,1)*(1+'Premiums Rates'!$AU$7)^($B64-1)),F64))</f>
        <v>0</v>
      </c>
      <c r="H64" s="258">
        <f>IF($C64="",0,IF('Premiums Rates'!$AL$6="None",0,IF('Premiums Rates'!$AL$6="C-Corp",$F64*'Premiums Rates'!$AL$5,$G64*'Premiums Rates'!$AL$5)))</f>
        <v>0</v>
      </c>
      <c r="I64" s="258" t="str">
        <f t="shared" si="7"/>
        <v/>
      </c>
      <c r="J64" s="259" t="str">
        <f>IF($B64="","",ROUND('Premiums Rates'!$J$94*(1+Premium!$C$21)^($B64-1),2))</f>
        <v/>
      </c>
      <c r="K64" s="260" t="str">
        <f>IF($C64="","",IF(AND($B64&gt;='Premiums Rates'!$AL$4,$B64&lt;='Premiums Rates'!$AL$28),$J64*365,0))</f>
        <v/>
      </c>
      <c r="L64" s="260" t="str">
        <f>IF($C64="","",IF(OR(Premium!$C$9="Joint",Premium!$C$9="Individual Plus Additional Insured"),$K64,0))</f>
        <v/>
      </c>
      <c r="M64" s="260" t="str">
        <f>IF($B64="","",IF(OR(Premium!$C$19="No",Premium!$C$18="Lifetime"),0,IF(AND($B64&gt;='Premiums Rates'!$AL$4+VALUE(LEFT(Premium!$C$18,1)),$B64&lt;('Premiums Rates'!$AL$4+2*VALUE(LEFT(Premium!$C$18,1))),OR(Premium!$C$9="Joint",Premium!$C$9="Individual Plus Additional Insured"),Premium!$C$19="Yes"),$J64*365,0)))</f>
        <v/>
      </c>
      <c r="N64" s="260" t="str">
        <f>IF($B64="","",IF(OR(Premium!$C$9="Joint",Premium!$C$9="Individual Plus Additional Insured"),K64+L64+M64,K64+M64))</f>
        <v/>
      </c>
      <c r="O64" s="260" t="str">
        <f>IF($C64="","",IF(Premium!$C$28="None",0,IF(LEFT(Premium!$C$28,4)="FROP",SUM($E$4:$E64),MAX(0,SUM($E$4:$E64)-SUM($N$4:$N63)))))</f>
        <v/>
      </c>
      <c r="P64" s="260" t="str">
        <f>IF($B64="","",IF(RIGHT(Premium!$C$28,1)="S",MAX(0,0.8*SUM($E$4:$E64)-SUM($N$4:$N63)),0))</f>
        <v/>
      </c>
      <c r="Q64" s="260" t="str">
        <f t="shared" si="8"/>
        <v/>
      </c>
    </row>
    <row r="65" spans="1:17">
      <c r="A65" s="257"/>
      <c r="B65" s="257" t="str">
        <f t="shared" si="9"/>
        <v/>
      </c>
      <c r="C65" s="257" t="str">
        <f>IF(OR(C64="",C64=(Premium!$G$8-1)),"",$C64+1)</f>
        <v/>
      </c>
      <c r="D65" s="257" t="str">
        <f>IF(OR(C65="",$D64=Premium!$G$8,$D64=""),"",$D64+1)</f>
        <v/>
      </c>
      <c r="E65" s="258" t="str">
        <f>IF($B65="","",IF(Premium!$C$24&lt;&gt;"Lifetime Pay",0,IF($B65&lt;='Premiums Rates'!$AL$27,$E64+IF(Premium!$D$31="N/A",0,Premium!$D$31*VLOOKUP(Premium!$C$25,'Premiums Rates'!$O$111:$P$114,2,0)),0)))</f>
        <v/>
      </c>
      <c r="F65" s="258">
        <f t="shared" si="6"/>
        <v>0</v>
      </c>
      <c r="G65" s="258">
        <f>IF($B65="",0,MIN(VLOOKUP($C65,'Premiums Rates'!$AK$32:$AM$36,3,1)*(1+'Premiums Rates'!$AU$7)^($B65-1)+IF(OR(Premium!$C$9="Joint",Premium!$C$9="Individual Plus Additional Insured"),VLOOKUP($D65,'Premiums Rates'!$AK$32:$AM$36,3,1)*(1+'Premiums Rates'!$AU$7)^($B65-1)),F65))</f>
        <v>0</v>
      </c>
      <c r="H65" s="258">
        <f>IF($C65="",0,IF('Premiums Rates'!$AL$6="None",0,IF('Premiums Rates'!$AL$6="C-Corp",$F65*'Premiums Rates'!$AL$5,$G65*'Premiums Rates'!$AL$5)))</f>
        <v>0</v>
      </c>
      <c r="I65" s="258" t="str">
        <f t="shared" si="7"/>
        <v/>
      </c>
      <c r="J65" s="259" t="str">
        <f>IF($B65="","",ROUND('Premiums Rates'!$J$94*(1+Premium!$C$21)^($B65-1),2))</f>
        <v/>
      </c>
      <c r="K65" s="260" t="str">
        <f>IF($C65="","",IF(AND($B65&gt;='Premiums Rates'!$AL$4,$B65&lt;='Premiums Rates'!$AL$28),$J65*365,0))</f>
        <v/>
      </c>
      <c r="L65" s="260" t="str">
        <f>IF($C65="","",IF(OR(Premium!$C$9="Joint",Premium!$C$9="Individual Plus Additional Insured"),$K65,0))</f>
        <v/>
      </c>
      <c r="M65" s="260" t="str">
        <f>IF($B65="","",IF(OR(Premium!$C$19="No",Premium!$C$18="Lifetime"),0,IF(AND($B65&gt;='Premiums Rates'!$AL$4+VALUE(LEFT(Premium!$C$18,1)),$B65&lt;('Premiums Rates'!$AL$4+2*VALUE(LEFT(Premium!$C$18,1))),OR(Premium!$C$9="Joint",Premium!$C$9="Individual Plus Additional Insured"),Premium!$C$19="Yes"),$J65*365,0)))</f>
        <v/>
      </c>
      <c r="N65" s="260" t="str">
        <f>IF($B65="","",IF(OR(Premium!$C$9="Joint",Premium!$C$9="Individual Plus Additional Insured"),K65+L65+M65,K65+M65))</f>
        <v/>
      </c>
      <c r="O65" s="260" t="str">
        <f>IF($C65="","",IF(Premium!$C$28="None",0,IF(LEFT(Premium!$C$28,4)="FROP",SUM($E$4:$E65),MAX(0,SUM($E$4:$E65)-SUM($N$4:$N64)))))</f>
        <v/>
      </c>
      <c r="P65" s="260" t="str">
        <f>IF($B65="","",IF(RIGHT(Premium!$C$28,1)="S",MAX(0,0.8*SUM($E$4:$E65)-SUM($N$4:$N64)),0))</f>
        <v/>
      </c>
      <c r="Q65" s="260" t="str">
        <f t="shared" si="8"/>
        <v/>
      </c>
    </row>
    <row r="66" spans="1:17">
      <c r="A66" s="257"/>
      <c r="B66" s="257" t="str">
        <f t="shared" si="9"/>
        <v/>
      </c>
      <c r="C66" s="257" t="str">
        <f>IF(OR(C65="",C65=(Premium!$G$8-1)),"",$C65+1)</f>
        <v/>
      </c>
      <c r="D66" s="257" t="str">
        <f>IF(OR(C66="",$D65=Premium!$G$8,$D65=""),"",$D65+1)</f>
        <v/>
      </c>
      <c r="E66" s="258" t="str">
        <f>IF($B66="","",IF(Premium!$C$24&lt;&gt;"Lifetime Pay",0,IF($B66&lt;='Premiums Rates'!$AL$27,$E65+IF(Premium!$D$31="N/A",0,Premium!$D$31*VLOOKUP(Premium!$C$25,'Premiums Rates'!$O$111:$P$114,2,0)),0)))</f>
        <v/>
      </c>
      <c r="F66" s="258">
        <f t="shared" si="6"/>
        <v>0</v>
      </c>
      <c r="G66" s="258">
        <f>IF($B66="",0,MIN(VLOOKUP($C66,'Premiums Rates'!$AK$32:$AM$36,3,1)*(1+'Premiums Rates'!$AU$7)^($B66-1)+IF(OR(Premium!$C$9="Joint",Premium!$C$9="Individual Plus Additional Insured"),VLOOKUP($D66,'Premiums Rates'!$AK$32:$AM$36,3,1)*(1+'Premiums Rates'!$AU$7)^($B66-1)),F66))</f>
        <v>0</v>
      </c>
      <c r="H66" s="258">
        <f>IF($C66="",0,IF('Premiums Rates'!$AL$6="None",0,IF('Premiums Rates'!$AL$6="C-Corp",$F66*'Premiums Rates'!$AL$5,$G66*'Premiums Rates'!$AL$5)))</f>
        <v>0</v>
      </c>
      <c r="I66" s="258" t="str">
        <f t="shared" si="7"/>
        <v/>
      </c>
      <c r="J66" s="259" t="str">
        <f>IF($B66="","",ROUND('Premiums Rates'!$J$94*(1+Premium!$C$21)^($B66-1),2))</f>
        <v/>
      </c>
      <c r="K66" s="260" t="str">
        <f>IF($C66="","",IF(AND($B66&gt;='Premiums Rates'!$AL$4,$B66&lt;='Premiums Rates'!$AL$28),$J66*365,0))</f>
        <v/>
      </c>
      <c r="L66" s="260" t="str">
        <f>IF($C66="","",IF(OR(Premium!$C$9="Joint",Premium!$C$9="Individual Plus Additional Insured"),$K66,0))</f>
        <v/>
      </c>
      <c r="M66" s="260" t="str">
        <f>IF($B66="","",IF(OR(Premium!$C$19="No",Premium!$C$18="Lifetime"),0,IF(AND($B66&gt;='Premiums Rates'!$AL$4+VALUE(LEFT(Premium!$C$18,1)),$B66&lt;('Premiums Rates'!$AL$4+2*VALUE(LEFT(Premium!$C$18,1))),OR(Premium!$C$9="Joint",Premium!$C$9="Individual Plus Additional Insured"),Premium!$C$19="Yes"),$J66*365,0)))</f>
        <v/>
      </c>
      <c r="N66" s="260" t="str">
        <f>IF($B66="","",IF(OR(Premium!$C$9="Joint",Premium!$C$9="Individual Plus Additional Insured"),K66+L66+M66,K66+M66))</f>
        <v/>
      </c>
      <c r="O66" s="260" t="str">
        <f>IF($C66="","",IF(Premium!$C$28="None",0,IF(LEFT(Premium!$C$28,4)="FROP",SUM($E$4:$E66),MAX(0,SUM($E$4:$E66)-SUM($N$4:$N65)))))</f>
        <v/>
      </c>
      <c r="P66" s="260" t="str">
        <f>IF($B66="","",IF(RIGHT(Premium!$C$28,1)="S",MAX(0,0.8*SUM($E$4:$E66)-SUM($N$4:$N65)),0))</f>
        <v/>
      </c>
      <c r="Q66" s="260" t="str">
        <f t="shared" si="8"/>
        <v/>
      </c>
    </row>
    <row r="67" spans="1:17">
      <c r="A67" s="257"/>
      <c r="B67" s="257" t="str">
        <f t="shared" si="9"/>
        <v/>
      </c>
      <c r="C67" s="257" t="str">
        <f>IF(OR(C66="",C66=(Premium!$G$8-1)),"",$C66+1)</f>
        <v/>
      </c>
      <c r="D67" s="257" t="str">
        <f>IF(OR(C67="",$D66=Premium!$G$8,$D66=""),"",$D66+1)</f>
        <v/>
      </c>
      <c r="E67" s="258" t="str">
        <f>IF($B67="","",IF(Premium!$C$24&lt;&gt;"Lifetime Pay",0,IF($B67&lt;='Premiums Rates'!$AL$27,$E66+IF(Premium!$D$31="N/A",0,Premium!$D$31*VLOOKUP(Premium!$C$25,'Premiums Rates'!$O$111:$P$114,2,0)),0)))</f>
        <v/>
      </c>
      <c r="F67" s="258">
        <f t="shared" si="6"/>
        <v>0</v>
      </c>
      <c r="G67" s="258">
        <f>IF($B67="",0,MIN(VLOOKUP($C67,'Premiums Rates'!$AK$32:$AM$36,3,1)*(1+'Premiums Rates'!$AU$7)^($B67-1)+IF(OR(Premium!$C$9="Joint",Premium!$C$9="Individual Plus Additional Insured"),VLOOKUP($D67,'Premiums Rates'!$AK$32:$AM$36,3,1)*(1+'Premiums Rates'!$AU$7)^($B67-1)),F67))</f>
        <v>0</v>
      </c>
      <c r="H67" s="258">
        <f>IF($C67="",0,IF('Premiums Rates'!$AL$6="None",0,IF('Premiums Rates'!$AL$6="C-Corp",$F67*'Premiums Rates'!$AL$5,$G67*'Premiums Rates'!$AL$5)))</f>
        <v>0</v>
      </c>
      <c r="I67" s="258" t="str">
        <f t="shared" si="7"/>
        <v/>
      </c>
      <c r="J67" s="259" t="str">
        <f>IF($B67="","",ROUND('Premiums Rates'!$J$94*(1+Premium!$C$21)^($B67-1),2))</f>
        <v/>
      </c>
      <c r="K67" s="260" t="str">
        <f>IF($C67="","",IF(AND($B67&gt;='Premiums Rates'!$AL$4,$B67&lt;='Premiums Rates'!$AL$28),$J67*365,0))</f>
        <v/>
      </c>
      <c r="L67" s="260" t="str">
        <f>IF($C67="","",IF(OR(Premium!$C$9="Joint",Premium!$C$9="Individual Plus Additional Insured"),$K67,0))</f>
        <v/>
      </c>
      <c r="M67" s="260" t="str">
        <f>IF($B67="","",IF(OR(Premium!$C$19="No",Premium!$C$18="Lifetime"),0,IF(AND($B67&gt;='Premiums Rates'!$AL$4+VALUE(LEFT(Premium!$C$18,1)),$B67&lt;('Premiums Rates'!$AL$4+2*VALUE(LEFT(Premium!$C$18,1))),OR(Premium!$C$9="Joint",Premium!$C$9="Individual Plus Additional Insured"),Premium!$C$19="Yes"),$J67*365,0)))</f>
        <v/>
      </c>
      <c r="N67" s="260" t="str">
        <f>IF($B67="","",IF(OR(Premium!$C$9="Joint",Premium!$C$9="Individual Plus Additional Insured"),K67+L67+M67,K67+M67))</f>
        <v/>
      </c>
      <c r="O67" s="260" t="str">
        <f>IF($C67="","",IF(Premium!$C$28="None",0,IF(LEFT(Premium!$C$28,4)="FROP",SUM($E$4:$E67),MAX(0,SUM($E$4:$E67)-SUM($N$4:$N66)))))</f>
        <v/>
      </c>
      <c r="P67" s="260" t="str">
        <f>IF($B67="","",IF(RIGHT(Premium!$C$28,1)="S",MAX(0,0.8*SUM($E$4:$E67)-SUM($N$4:$N66)),0))</f>
        <v/>
      </c>
      <c r="Q67" s="260" t="str">
        <f t="shared" si="8"/>
        <v/>
      </c>
    </row>
    <row r="68" spans="1:17">
      <c r="A68" s="257"/>
      <c r="B68" s="257" t="str">
        <f t="shared" si="9"/>
        <v/>
      </c>
      <c r="C68" s="257" t="str">
        <f>IF(OR(C67="",C67=(Premium!$G$8-1)),"",$C67+1)</f>
        <v/>
      </c>
      <c r="D68" s="257" t="str">
        <f>IF(OR(C68="",$D67=Premium!$G$8,$D67=""),"",$D67+1)</f>
        <v/>
      </c>
      <c r="E68" s="258" t="str">
        <f>IF($B68="","",IF(Premium!$C$24&lt;&gt;"Lifetime Pay",0,IF($B68&lt;='Premiums Rates'!$AL$27,$E67+IF(Premium!$D$31="N/A",0,Premium!$D$31*VLOOKUP(Premium!$C$25,'Premiums Rates'!$O$111:$P$114,2,0)),0)))</f>
        <v/>
      </c>
      <c r="F68" s="258">
        <f t="shared" si="6"/>
        <v>0</v>
      </c>
      <c r="G68" s="258">
        <f>IF($B68="",0,MIN(VLOOKUP($C68,'Premiums Rates'!$AK$32:$AM$36,3,1)*(1+'Premiums Rates'!$AU$7)^($B68-1)+IF(OR(Premium!$C$9="Joint",Premium!$C$9="Individual Plus Additional Insured"),VLOOKUP($D68,'Premiums Rates'!$AK$32:$AM$36,3,1)*(1+'Premiums Rates'!$AU$7)^($B68-1)),F68))</f>
        <v>0</v>
      </c>
      <c r="H68" s="258">
        <f>IF($C68="",0,IF('Premiums Rates'!$AL$6="None",0,IF('Premiums Rates'!$AL$6="C-Corp",$F68*'Premiums Rates'!$AL$5,$G68*'Premiums Rates'!$AL$5)))</f>
        <v>0</v>
      </c>
      <c r="I68" s="258" t="str">
        <f t="shared" si="7"/>
        <v/>
      </c>
      <c r="J68" s="259" t="str">
        <f>IF($B68="","",ROUND('Premiums Rates'!$J$94*(1+Premium!$C$21)^($B68-1),2))</f>
        <v/>
      </c>
      <c r="K68" s="260" t="str">
        <f>IF($C68="","",IF(AND($B68&gt;='Premiums Rates'!$AL$4,$B68&lt;='Premiums Rates'!$AL$28),$J68*365,0))</f>
        <v/>
      </c>
      <c r="L68" s="260" t="str">
        <f>IF($C68="","",IF(OR(Premium!$C$9="Joint",Premium!$C$9="Individual Plus Additional Insured"),$K68,0))</f>
        <v/>
      </c>
      <c r="M68" s="260" t="str">
        <f>IF($B68="","",IF(OR(Premium!$C$19="No",Premium!$C$18="Lifetime"),0,IF(AND($B68&gt;='Premiums Rates'!$AL$4+VALUE(LEFT(Premium!$C$18,1)),$B68&lt;('Premiums Rates'!$AL$4+2*VALUE(LEFT(Premium!$C$18,1))),OR(Premium!$C$9="Joint",Premium!$C$9="Individual Plus Additional Insured"),Premium!$C$19="Yes"),$J68*365,0)))</f>
        <v/>
      </c>
      <c r="N68" s="260" t="str">
        <f>IF($B68="","",IF(OR(Premium!$C$9="Joint",Premium!$C$9="Individual Plus Additional Insured"),K68+L68+M68,K68+M68))</f>
        <v/>
      </c>
      <c r="O68" s="260" t="str">
        <f>IF($C68="","",IF(Premium!$C$28="None",0,IF(LEFT(Premium!$C$28,4)="FROP",SUM($E$4:$E68),MAX(0,SUM($E$4:$E68)-SUM($N$4:$N67)))))</f>
        <v/>
      </c>
      <c r="P68" s="260" t="str">
        <f>IF($B68="","",IF(RIGHT(Premium!$C$28,1)="S",MAX(0,0.8*SUM($E$4:$E68)-SUM($N$4:$N67)),0))</f>
        <v/>
      </c>
      <c r="Q68" s="260" t="str">
        <f t="shared" si="8"/>
        <v/>
      </c>
    </row>
    <row r="69" spans="1:17">
      <c r="A69" s="257"/>
      <c r="B69" s="257" t="str">
        <f t="shared" si="9"/>
        <v/>
      </c>
      <c r="C69" s="257" t="str">
        <f>IF(OR(C68="",C68=(Premium!$G$8-1)),"",$C68+1)</f>
        <v/>
      </c>
      <c r="D69" s="257" t="str">
        <f>IF(OR(C69="",$D68=Premium!$G$8,$D68=""),"",$D68+1)</f>
        <v/>
      </c>
      <c r="E69" s="258" t="str">
        <f>IF($B69="","",IF(Premium!$C$24&lt;&gt;"Lifetime Pay",0,IF($B69&lt;='Premiums Rates'!$AL$27,$E68+IF(Premium!$D$31="N/A",0,Premium!$D$31*VLOOKUP(Premium!$C$25,'Premiums Rates'!$O$111:$P$114,2,0)),0)))</f>
        <v/>
      </c>
      <c r="F69" s="258">
        <f t="shared" ref="F69:F78" si="10">IF($B69="",0,$E69)</f>
        <v>0</v>
      </c>
      <c r="G69" s="258">
        <f>IF($B69="",0,MIN(VLOOKUP($C69,'Premiums Rates'!$AK$32:$AM$36,3,1)*(1+'Premiums Rates'!$AU$7)^($B69-1)+IF(OR(Premium!$C$9="Joint",Premium!$C$9="Individual Plus Additional Insured"),VLOOKUP($D69,'Premiums Rates'!$AK$32:$AM$36,3,1)*(1+'Premiums Rates'!$AU$7)^($B69-1)),F69))</f>
        <v>0</v>
      </c>
      <c r="H69" s="258">
        <f>IF($C69="",0,IF('Premiums Rates'!$AL$6="None",0,IF('Premiums Rates'!$AL$6="C-Corp",$F69*'Premiums Rates'!$AL$5,$G69*'Premiums Rates'!$AL$5)))</f>
        <v>0</v>
      </c>
      <c r="I69" s="258" t="str">
        <f t="shared" ref="I69:I78" si="11">IF($B70="","",E69-H69)</f>
        <v/>
      </c>
      <c r="J69" s="259" t="str">
        <f>IF($B69="","",ROUND('Premiums Rates'!$J$94*(1+Premium!$C$21)^($B69-1),2))</f>
        <v/>
      </c>
      <c r="K69" s="260" t="str">
        <f>IF($C69="","",IF(AND($B69&gt;='Premiums Rates'!$AL$4,$B69&lt;='Premiums Rates'!$AL$28),$J69*365,0))</f>
        <v/>
      </c>
      <c r="L69" s="260" t="str">
        <f>IF($C69="","",IF(OR(Premium!$C$9="Joint",Premium!$C$9="Individual Plus Additional Insured"),$K69,0))</f>
        <v/>
      </c>
      <c r="M69" s="260" t="str">
        <f>IF($B69="","",IF(OR(Premium!$C$19="No",Premium!$C$18="Lifetime"),0,IF(AND($B69&gt;='Premiums Rates'!$AL$4+VALUE(LEFT(Premium!$C$18,1)),$B69&lt;('Premiums Rates'!$AL$4+2*VALUE(LEFT(Premium!$C$18,1))),OR(Premium!$C$9="Joint",Premium!$C$9="Individual Plus Additional Insured"),Premium!$C$19="Yes"),$J69*365,0)))</f>
        <v/>
      </c>
      <c r="N69" s="260" t="str">
        <f>IF($B69="","",IF(OR(Premium!$C$9="Joint",Premium!$C$9="Individual Plus Additional Insured"),K69+L69+M69,K69+M69))</f>
        <v/>
      </c>
      <c r="O69" s="260" t="str">
        <f>IF($C69="","",IF(Premium!$C$28="None",0,IF(LEFT(Premium!$C$28,4)="FROP",SUM($E$4:$E69),MAX(0,SUM($E$4:$E69)-SUM($N$4:$N68)))))</f>
        <v/>
      </c>
      <c r="P69" s="260" t="str">
        <f>IF($B69="","",IF(RIGHT(Premium!$C$28,1)="S",MAX(0,0.8*SUM($E$4:$E69)-SUM($N$4:$N68)),0))</f>
        <v/>
      </c>
      <c r="Q69" s="260" t="str">
        <f t="shared" ref="Q69:Q78" si="12">IF($B69="","",N69-E69+H69)</f>
        <v/>
      </c>
    </row>
    <row r="70" spans="1:17">
      <c r="A70" s="257"/>
      <c r="B70" s="257" t="str">
        <f t="shared" ref="B70:B78" si="13">IF($C70="","",$B69+1)</f>
        <v/>
      </c>
      <c r="C70" s="257" t="str">
        <f>IF(OR(C69="",C69=(Premium!$G$8-1)),"",$C69+1)</f>
        <v/>
      </c>
      <c r="D70" s="257" t="str">
        <f>IF(OR(C70="",$D69=Premium!$G$8,$D69=""),"",$D69+1)</f>
        <v/>
      </c>
      <c r="E70" s="258" t="str">
        <f>IF($B70="","",IF(Premium!$C$24&lt;&gt;"Lifetime Pay",0,IF($B70&lt;='Premiums Rates'!$AL$27,$E69+IF(Premium!$D$31="N/A",0,Premium!$D$31*VLOOKUP(Premium!$C$25,'Premiums Rates'!$O$111:$P$114,2,0)),0)))</f>
        <v/>
      </c>
      <c r="F70" s="258">
        <f t="shared" si="10"/>
        <v>0</v>
      </c>
      <c r="G70" s="258">
        <f>IF($B70="",0,MIN(VLOOKUP($C70,'Premiums Rates'!$AK$32:$AM$36,3,1)*(1+'Premiums Rates'!$AU$7)^($B70-1)+IF(OR(Premium!$C$9="Joint",Premium!$C$9="Individual Plus Additional Insured"),VLOOKUP($D70,'Premiums Rates'!$AK$32:$AM$36,3,1)*(1+'Premiums Rates'!$AU$7)^($B70-1)),F70))</f>
        <v>0</v>
      </c>
      <c r="H70" s="258">
        <f>IF($C70="",0,IF('Premiums Rates'!$AL$6="None",0,IF('Premiums Rates'!$AL$6="C-Corp",$F70*'Premiums Rates'!$AL$5,$G70*'Premiums Rates'!$AL$5)))</f>
        <v>0</v>
      </c>
      <c r="I70" s="258" t="str">
        <f t="shared" si="11"/>
        <v/>
      </c>
      <c r="J70" s="259" t="str">
        <f>IF($B70="","",ROUND('Premiums Rates'!$J$94*(1+Premium!$C$21)^($B70-1),2))</f>
        <v/>
      </c>
      <c r="K70" s="260" t="str">
        <f>IF($C70="","",IF(AND($B70&gt;='Premiums Rates'!$AL$4,$B70&lt;='Premiums Rates'!$AL$28),$J70*365,0))</f>
        <v/>
      </c>
      <c r="L70" s="260" t="str">
        <f>IF($C70="","",IF(OR(Premium!$C$9="Joint",Premium!$C$9="Individual Plus Additional Insured"),$K70,0))</f>
        <v/>
      </c>
      <c r="M70" s="260" t="str">
        <f>IF($B70="","",IF(OR(Premium!$C$19="No",Premium!$C$18="Lifetime"),0,IF(AND($B70&gt;='Premiums Rates'!$AL$4+VALUE(LEFT(Premium!$C$18,1)),$B70&lt;('Premiums Rates'!$AL$4+2*VALUE(LEFT(Premium!$C$18,1))),OR(Premium!$C$9="Joint",Premium!$C$9="Individual Plus Additional Insured"),Premium!$C$19="Yes"),$J70*365,0)))</f>
        <v/>
      </c>
      <c r="N70" s="260" t="str">
        <f>IF($B70="","",IF(OR(Premium!$C$9="Joint",Premium!$C$9="Individual Plus Additional Insured"),K70+L70+M70,K70+M70))</f>
        <v/>
      </c>
      <c r="O70" s="260" t="str">
        <f>IF($C70="","",IF(Premium!$C$28="None",0,IF(LEFT(Premium!$C$28,4)="FROP",SUM($E$4:$E70),MAX(0,SUM($E$4:$E70)-SUM($N$4:$N69)))))</f>
        <v/>
      </c>
      <c r="P70" s="260" t="str">
        <f>IF($B70="","",IF(RIGHT(Premium!$C$28,1)="S",MAX(0,0.8*SUM($E$4:$E70)-SUM($N$4:$N69)),0))</f>
        <v/>
      </c>
      <c r="Q70" s="260" t="str">
        <f t="shared" si="12"/>
        <v/>
      </c>
    </row>
    <row r="71" spans="1:17">
      <c r="A71" s="257"/>
      <c r="B71" s="257" t="str">
        <f t="shared" si="13"/>
        <v/>
      </c>
      <c r="C71" s="257" t="str">
        <f>IF(OR(C70="",C70=(Premium!$G$8-1)),"",$C70+1)</f>
        <v/>
      </c>
      <c r="D71" s="257" t="str">
        <f>IF(OR(C71="",$D70=Premium!$G$8,$D70=""),"",$D70+1)</f>
        <v/>
      </c>
      <c r="E71" s="258" t="str">
        <f>IF($B71="","",IF(Premium!$C$24&lt;&gt;"Lifetime Pay",0,IF($B71&lt;='Premiums Rates'!$AL$27,$E70+IF(Premium!$D$31="N/A",0,Premium!$D$31*VLOOKUP(Premium!$C$25,'Premiums Rates'!$O$111:$P$114,2,0)),0)))</f>
        <v/>
      </c>
      <c r="F71" s="258">
        <f t="shared" si="10"/>
        <v>0</v>
      </c>
      <c r="G71" s="258">
        <f>IF($B71="",0,MIN(VLOOKUP($C71,'Premiums Rates'!$AK$32:$AM$36,3,1)*(1+'Premiums Rates'!$AU$7)^($B71-1)+IF(OR(Premium!$C$9="Joint",Premium!$C$9="Individual Plus Additional Insured"),VLOOKUP($D71,'Premiums Rates'!$AK$32:$AM$36,3,1)*(1+'Premiums Rates'!$AU$7)^($B71-1)),F71))</f>
        <v>0</v>
      </c>
      <c r="H71" s="258">
        <f>IF($C71="",0,IF('Premiums Rates'!$AL$6="None",0,IF('Premiums Rates'!$AL$6="C-Corp",$F71*'Premiums Rates'!$AL$5,$G71*'Premiums Rates'!$AL$5)))</f>
        <v>0</v>
      </c>
      <c r="I71" s="258" t="str">
        <f t="shared" si="11"/>
        <v/>
      </c>
      <c r="J71" s="259" t="str">
        <f>IF($B71="","",ROUND('Premiums Rates'!$J$94*(1+Premium!$C$21)^($B71-1),2))</f>
        <v/>
      </c>
      <c r="K71" s="260" t="str">
        <f>IF($C71="","",IF(AND($B71&gt;='Premiums Rates'!$AL$4,$B71&lt;='Premiums Rates'!$AL$28),$J71*365,0))</f>
        <v/>
      </c>
      <c r="L71" s="260" t="str">
        <f>IF($C71="","",IF(OR(Premium!$C$9="Joint",Premium!$C$9="Individual Plus Additional Insured"),$K71,0))</f>
        <v/>
      </c>
      <c r="M71" s="260" t="str">
        <f>IF($B71="","",IF(OR(Premium!$C$19="No",Premium!$C$18="Lifetime"),0,IF(AND($B71&gt;='Premiums Rates'!$AL$4+VALUE(LEFT(Premium!$C$18,1)),$B71&lt;('Premiums Rates'!$AL$4+2*VALUE(LEFT(Premium!$C$18,1))),OR(Premium!$C$9="Joint",Premium!$C$9="Individual Plus Additional Insured"),Premium!$C$19="Yes"),$J71*365,0)))</f>
        <v/>
      </c>
      <c r="N71" s="260" t="str">
        <f>IF($B71="","",IF(OR(Premium!$C$9="Joint",Premium!$C$9="Individual Plus Additional Insured"),K71+L71+M71,K71+M71))</f>
        <v/>
      </c>
      <c r="O71" s="260" t="str">
        <f>IF($C71="","",IF(Premium!$C$28="None",0,IF(LEFT(Premium!$C$28,4)="FROP",SUM($E$4:$E71),MAX(0,SUM($E$4:$E71)-SUM($N$4:$N70)))))</f>
        <v/>
      </c>
      <c r="P71" s="260" t="str">
        <f>IF($B71="","",IF(RIGHT(Premium!$C$28,1)="S",MAX(0,0.8*SUM($E$4:$E71)-SUM($N$4:$N70)),0))</f>
        <v/>
      </c>
      <c r="Q71" s="260" t="str">
        <f t="shared" si="12"/>
        <v/>
      </c>
    </row>
    <row r="72" spans="1:17">
      <c r="A72" s="257"/>
      <c r="B72" s="257" t="str">
        <f t="shared" si="13"/>
        <v/>
      </c>
      <c r="C72" s="257" t="str">
        <f>IF(OR(C71="",C71=(Premium!$G$8-1)),"",$C71+1)</f>
        <v/>
      </c>
      <c r="D72" s="257" t="str">
        <f>IF(OR(C72="",$D71=Premium!$G$8,$D71=""),"",$D71+1)</f>
        <v/>
      </c>
      <c r="E72" s="258" t="str">
        <f>IF($B72="","",IF(Premium!$C$24&lt;&gt;"Lifetime Pay",0,IF($B72&lt;='Premiums Rates'!$AL$27,$E71+IF(Premium!$D$31="N/A",0,Premium!$D$31*VLOOKUP(Premium!$C$25,'Premiums Rates'!$O$111:$P$114,2,0)),0)))</f>
        <v/>
      </c>
      <c r="F72" s="258">
        <f t="shared" si="10"/>
        <v>0</v>
      </c>
      <c r="G72" s="258">
        <f>IF($B72="",0,MIN(VLOOKUP($C72,'Premiums Rates'!$AK$32:$AM$36,3,1)*(1+'Premiums Rates'!$AU$7)^($B72-1)+IF(OR(Premium!$C$9="Joint",Premium!$C$9="Individual Plus Additional Insured"),VLOOKUP($D72,'Premiums Rates'!$AK$32:$AM$36,3,1)*(1+'Premiums Rates'!$AU$7)^($B72-1)),F72))</f>
        <v>0</v>
      </c>
      <c r="H72" s="258">
        <f>IF($C72="",0,IF('Premiums Rates'!$AL$6="None",0,IF('Premiums Rates'!$AL$6="C-Corp",$F72*'Premiums Rates'!$AL$5,$G72*'Premiums Rates'!$AL$5)))</f>
        <v>0</v>
      </c>
      <c r="I72" s="258" t="str">
        <f t="shared" si="11"/>
        <v/>
      </c>
      <c r="J72" s="259" t="str">
        <f>IF($B72="","",ROUND('Premiums Rates'!$J$94*(1+Premium!$C$21)^($B72-1),2))</f>
        <v/>
      </c>
      <c r="K72" s="260" t="str">
        <f>IF($C72="","",IF(AND($B72&gt;='Premiums Rates'!$AL$4,$B72&lt;='Premiums Rates'!$AL$28),$J72*365,0))</f>
        <v/>
      </c>
      <c r="L72" s="260" t="str">
        <f>IF($C72="","",IF(OR(Premium!$C$9="Joint",Premium!$C$9="Individual Plus Additional Insured"),$K72,0))</f>
        <v/>
      </c>
      <c r="M72" s="260" t="str">
        <f>IF($B72="","",IF(OR(Premium!$C$19="No",Premium!$C$18="Lifetime"),0,IF(AND($B72&gt;='Premiums Rates'!$AL$4+VALUE(LEFT(Premium!$C$18,1)),$B72&lt;('Premiums Rates'!$AL$4+2*VALUE(LEFT(Premium!$C$18,1))),OR(Premium!$C$9="Joint",Premium!$C$9="Individual Plus Additional Insured"),Premium!$C$19="Yes"),$J72*365,0)))</f>
        <v/>
      </c>
      <c r="N72" s="260" t="str">
        <f>IF($B72="","",IF(OR(Premium!$C$9="Joint",Premium!$C$9="Individual Plus Additional Insured"),K72+L72+M72,K72+M72))</f>
        <v/>
      </c>
      <c r="O72" s="260" t="str">
        <f>IF($C72="","",IF(Premium!$C$28="None",0,IF(LEFT(Premium!$C$28,4)="FROP",SUM($E$4:$E72),MAX(0,SUM($E$4:$E72)-SUM($N$4:$N71)))))</f>
        <v/>
      </c>
      <c r="P72" s="260" t="str">
        <f>IF($B72="","",IF(RIGHT(Premium!$C$28,1)="S",MAX(0,0.8*SUM($E$4:$E72)-SUM($N$4:$N71)),0))</f>
        <v/>
      </c>
      <c r="Q72" s="260" t="str">
        <f t="shared" si="12"/>
        <v/>
      </c>
    </row>
    <row r="73" spans="1:17">
      <c r="B73" s="257" t="str">
        <f t="shared" si="13"/>
        <v/>
      </c>
      <c r="C73" s="257" t="str">
        <f>IF(OR(C72="",C72=(Premium!$G$8-1)),"",$C72+1)</f>
        <v/>
      </c>
      <c r="D73" s="257" t="str">
        <f>IF(OR(C73="",$D72=Premium!$G$8,$D72=""),"",$D72+1)</f>
        <v/>
      </c>
      <c r="E73" s="258" t="str">
        <f>IF($B73="","",IF(Premium!$C$24&lt;&gt;"Lifetime Pay",0,IF($B73&lt;='Premiums Rates'!$AL$27,$E72+IF(Premium!$D$31="N/A",0,Premium!$D$31*VLOOKUP(Premium!$C$25,'Premiums Rates'!$O$111:$P$114,2,0)),0)))</f>
        <v/>
      </c>
      <c r="F73" s="258">
        <f t="shared" si="10"/>
        <v>0</v>
      </c>
      <c r="G73" s="258">
        <f>IF($B73="",0,MIN(VLOOKUP($C73,'Premiums Rates'!$AK$32:$AM$36,3,1)*(1+'Premiums Rates'!$AU$7)^($B73-1)+IF(OR(Premium!$C$9="Joint",Premium!$C$9="Individual Plus Additional Insured"),VLOOKUP($D73,'Premiums Rates'!$AK$32:$AM$36,3,1)*(1+'Premiums Rates'!$AU$7)^($B73-1)),F73))</f>
        <v>0</v>
      </c>
      <c r="H73" s="258">
        <f>IF($C73="",0,IF('Premiums Rates'!$AL$6="None",0,IF('Premiums Rates'!$AL$6="C-Corp",$F73*'Premiums Rates'!$AL$5,$G73*'Premiums Rates'!$AL$5)))</f>
        <v>0</v>
      </c>
      <c r="I73" s="258" t="str">
        <f t="shared" si="11"/>
        <v/>
      </c>
      <c r="J73" s="259" t="str">
        <f>IF($B73="","",ROUND('Premiums Rates'!$J$94*(1+Premium!$C$21)^($B73-1),2))</f>
        <v/>
      </c>
      <c r="K73" s="260" t="str">
        <f>IF($C73="","",IF(AND($B73&gt;='Premiums Rates'!$AL$4,$B73&lt;='Premiums Rates'!$AL$28),$J73*365,0))</f>
        <v/>
      </c>
      <c r="L73" s="260" t="str">
        <f>IF($C73="","",IF(OR(Premium!$C$9="Joint",Premium!$C$9="Individual Plus Additional Insured"),$K73,0))</f>
        <v/>
      </c>
      <c r="M73" s="260" t="str">
        <f>IF($B73="","",IF(OR(Premium!$C$19="No",Premium!$C$18="Lifetime"),0,IF(AND($B73&gt;='Premiums Rates'!$AL$4+VALUE(LEFT(Premium!$C$18,1)),$B73&lt;('Premiums Rates'!$AL$4+2*VALUE(LEFT(Premium!$C$18,1))),OR(Premium!$C$9="Joint",Premium!$C$9="Individual Plus Additional Insured"),Premium!$C$19="Yes"),$J73*365,0)))</f>
        <v/>
      </c>
      <c r="N73" s="260" t="str">
        <f>IF($B73="","",IF(OR(Premium!$C$9="Joint",Premium!$C$9="Individual Plus Additional Insured"),K73+L73+M73,K73+M73))</f>
        <v/>
      </c>
      <c r="O73" s="260" t="str">
        <f>IF($C73="","",IF(Premium!$C$28="None",0,IF(LEFT(Premium!$C$28,4)="FROP",SUM($E$4:$E73),MAX(0,SUM($E$4:$E73)-SUM($N$4:$N72)))))</f>
        <v/>
      </c>
      <c r="P73" s="260" t="str">
        <f>IF($B73="","",IF(RIGHT(Premium!$C$28,1)="S",MAX(0,0.8*SUM($E$4:$E73)-SUM($N$4:$N72)),0))</f>
        <v/>
      </c>
      <c r="Q73" s="260" t="str">
        <f t="shared" si="12"/>
        <v/>
      </c>
    </row>
    <row r="74" spans="1:17">
      <c r="B74" s="257" t="str">
        <f t="shared" si="13"/>
        <v/>
      </c>
      <c r="C74" s="257" t="str">
        <f>IF(OR(C73="",C73=(Premium!$G$8-1)),"",$C73+1)</f>
        <v/>
      </c>
      <c r="D74" s="257" t="str">
        <f>IF(OR(C74="",$D73=Premium!$G$8,$D73=""),"",$D73+1)</f>
        <v/>
      </c>
      <c r="E74" s="258" t="str">
        <f>IF($B74="","",IF(Premium!$C$24&lt;&gt;"Lifetime Pay",0,IF($B74&lt;='Premiums Rates'!$AL$27,$E73+IF(Premium!$D$31="N/A",0,Premium!$D$31*VLOOKUP(Premium!$C$25,'Premiums Rates'!$O$111:$P$114,2,0)),0)))</f>
        <v/>
      </c>
      <c r="F74" s="258">
        <f t="shared" si="10"/>
        <v>0</v>
      </c>
      <c r="G74" s="258">
        <f>IF($B74="",0,MIN(VLOOKUP($C74,'Premiums Rates'!$AK$32:$AM$36,3,1)*(1+'Premiums Rates'!$AU$7)^($B74-1)+IF(OR(Premium!$C$9="Joint",Premium!$C$9="Individual Plus Additional Insured"),VLOOKUP($D74,'Premiums Rates'!$AK$32:$AM$36,3,1)*(1+'Premiums Rates'!$AU$7)^($B74-1)),F74))</f>
        <v>0</v>
      </c>
      <c r="H74" s="258">
        <f>IF($C74="",0,IF('Premiums Rates'!$AL$6="None",0,IF('Premiums Rates'!$AL$6="C-Corp",$F74*'Premiums Rates'!$AL$5,$G74*'Premiums Rates'!$AL$5)))</f>
        <v>0</v>
      </c>
      <c r="I74" s="258" t="str">
        <f t="shared" si="11"/>
        <v/>
      </c>
      <c r="J74" s="259" t="str">
        <f>IF($B74="","",ROUND('Premiums Rates'!$J$94*(1+Premium!$C$21)^($B74-1),2))</f>
        <v/>
      </c>
      <c r="K74" s="260" t="str">
        <f>IF($C74="","",IF(AND($B74&gt;='Premiums Rates'!$AL$4,$B74&lt;='Premiums Rates'!$AL$28),$J74*365,0))</f>
        <v/>
      </c>
      <c r="L74" s="260" t="str">
        <f>IF($C74="","",IF(OR(Premium!$C$9="Joint",Premium!$C$9="Individual Plus Additional Insured"),$K74,0))</f>
        <v/>
      </c>
      <c r="M74" s="260" t="str">
        <f>IF($B74="","",IF(OR(Premium!$C$19="No",Premium!$C$18="Lifetime"),0,IF(AND($B74&gt;='Premiums Rates'!$AL$4+VALUE(LEFT(Premium!$C$18,1)),$B74&lt;('Premiums Rates'!$AL$4+2*VALUE(LEFT(Premium!$C$18,1))),OR(Premium!$C$9="Joint",Premium!$C$9="Individual Plus Additional Insured"),Premium!$C$19="Yes"),$J74*365,0)))</f>
        <v/>
      </c>
      <c r="N74" s="260" t="str">
        <f>IF($B74="","",IF(OR(Premium!$C$9="Joint",Premium!$C$9="Individual Plus Additional Insured"),K74+L74+M74,K74+M74))</f>
        <v/>
      </c>
      <c r="O74" s="260" t="str">
        <f>IF($C74="","",IF(Premium!$C$28="None",0,IF(LEFT(Premium!$C$28,4)="FROP",SUM($E$4:$E74),MAX(0,SUM($E$4:$E74)-SUM($N$4:$N73)))))</f>
        <v/>
      </c>
      <c r="P74" s="260" t="str">
        <f>IF($B74="","",IF(RIGHT(Premium!$C$28,1)="S",MAX(0,0.8*SUM($E$4:$E74)-SUM($N$4:$N73)),0))</f>
        <v/>
      </c>
      <c r="Q74" s="260" t="str">
        <f t="shared" si="12"/>
        <v/>
      </c>
    </row>
    <row r="75" spans="1:17">
      <c r="B75" s="257" t="str">
        <f t="shared" si="13"/>
        <v/>
      </c>
      <c r="C75" s="257" t="str">
        <f>IF(OR(C74="",C74=(Premium!$G$8-1)),"",$C74+1)</f>
        <v/>
      </c>
      <c r="D75" s="257" t="str">
        <f>IF(OR(C75="",$D74=Premium!$G$8,$D74=""),"",$D74+1)</f>
        <v/>
      </c>
      <c r="E75" s="258" t="str">
        <f>IF($B75="","",IF(Premium!$C$24&lt;&gt;"Lifetime Pay",0,IF($B75&lt;='Premiums Rates'!$AL$27,$E74+IF(Premium!$D$31="N/A",0,Premium!$D$31*VLOOKUP(Premium!$C$25,'Premiums Rates'!$O$111:$P$114,2,0)),0)))</f>
        <v/>
      </c>
      <c r="F75" s="258">
        <f t="shared" si="10"/>
        <v>0</v>
      </c>
      <c r="G75" s="258">
        <f>IF($B75="",0,MIN(VLOOKUP($C75,'Premiums Rates'!$AK$32:$AM$36,3,1)*(1+'Premiums Rates'!$AU$7)^($B75-1)+IF(OR(Premium!$C$9="Joint",Premium!$C$9="Individual Plus Additional Insured"),VLOOKUP($D75,'Premiums Rates'!$AK$32:$AM$36,3,1)*(1+'Premiums Rates'!$AU$7)^($B75-1)),F75))</f>
        <v>0</v>
      </c>
      <c r="H75" s="258">
        <f>IF($C75="",0,IF('Premiums Rates'!$AL$6="None",0,IF('Premiums Rates'!$AL$6="C-Corp",$F75*'Premiums Rates'!$AL$5,$G75*'Premiums Rates'!$AL$5)))</f>
        <v>0</v>
      </c>
      <c r="I75" s="258" t="str">
        <f t="shared" si="11"/>
        <v/>
      </c>
      <c r="J75" s="259" t="str">
        <f>IF($B75="","",ROUND('Premiums Rates'!$J$94*(1+Premium!$C$21)^($B75-1),2))</f>
        <v/>
      </c>
      <c r="K75" s="260" t="str">
        <f>IF($C75="","",IF(AND($B75&gt;='Premiums Rates'!$AL$4,$B75&lt;='Premiums Rates'!$AL$28),$J75*365,0))</f>
        <v/>
      </c>
      <c r="L75" s="260" t="str">
        <f>IF($C75="","",IF(OR(Premium!$C$9="Joint",Premium!$C$9="Individual Plus Additional Insured"),$K75,0))</f>
        <v/>
      </c>
      <c r="M75" s="260" t="str">
        <f>IF($B75="","",IF(OR(Premium!$C$19="No",Premium!$C$18="Lifetime"),0,IF(AND($B75&gt;='Premiums Rates'!$AL$4+VALUE(LEFT(Premium!$C$18,1)),$B75&lt;('Premiums Rates'!$AL$4+2*VALUE(LEFT(Premium!$C$18,1))),OR(Premium!$C$9="Joint",Premium!$C$9="Individual Plus Additional Insured"),Premium!$C$19="Yes"),$J75*365,0)))</f>
        <v/>
      </c>
      <c r="N75" s="260" t="str">
        <f>IF($B75="","",IF(OR(Premium!$C$9="Joint",Premium!$C$9="Individual Plus Additional Insured"),K75+L75+M75,K75+M75))</f>
        <v/>
      </c>
      <c r="O75" s="260" t="str">
        <f>IF($C75="","",IF(Premium!$C$28="None",0,IF(LEFT(Premium!$C$28,4)="FROP",SUM($E$4:$E75),MAX(0,SUM($E$4:$E75)-SUM($N$4:$N74)))))</f>
        <v/>
      </c>
      <c r="P75" s="260" t="str">
        <f>IF($B75="","",IF(RIGHT(Premium!$C$28,1)="S",MAX(0,0.8*SUM($E$4:$E75)-SUM($N$4:$N74)),0))</f>
        <v/>
      </c>
      <c r="Q75" s="260" t="str">
        <f t="shared" si="12"/>
        <v/>
      </c>
    </row>
    <row r="76" spans="1:17">
      <c r="B76" s="257" t="str">
        <f t="shared" si="13"/>
        <v/>
      </c>
      <c r="C76" s="257" t="str">
        <f>IF(OR(C75="",C75=(Premium!$G$8-1)),"",$C75+1)</f>
        <v/>
      </c>
      <c r="D76" s="257" t="str">
        <f>IF(OR(C76="",$D75=Premium!$G$8,$D75=""),"",$D75+1)</f>
        <v/>
      </c>
      <c r="E76" s="258" t="str">
        <f>IF($B76="","",IF(Premium!$C$24&lt;&gt;"Lifetime Pay",0,IF($B76&lt;='Premiums Rates'!$AL$27,$E75+IF(Premium!$D$31="N/A",0,Premium!$D$31*VLOOKUP(Premium!$C$25,'Premiums Rates'!$O$111:$P$114,2,0)),0)))</f>
        <v/>
      </c>
      <c r="F76" s="258">
        <f t="shared" si="10"/>
        <v>0</v>
      </c>
      <c r="G76" s="258">
        <f>IF($B76="",0,MIN(VLOOKUP($C76,'Premiums Rates'!$AK$32:$AM$36,3,1)*(1+'Premiums Rates'!$AU$7)^($B76-1)+IF(OR(Premium!$C$9="Joint",Premium!$C$9="Individual Plus Additional Insured"),VLOOKUP($D76,'Premiums Rates'!$AK$32:$AM$36,3,1)*(1+'Premiums Rates'!$AU$7)^($B76-1)),F76))</f>
        <v>0</v>
      </c>
      <c r="H76" s="258">
        <f>IF($C76="",0,IF('Premiums Rates'!$AL$6="None",0,IF('Premiums Rates'!$AL$6="C-Corp",$F76*'Premiums Rates'!$AL$5,$G76*'Premiums Rates'!$AL$5)))</f>
        <v>0</v>
      </c>
      <c r="I76" s="258" t="str">
        <f t="shared" si="11"/>
        <v/>
      </c>
      <c r="J76" s="259" t="str">
        <f>IF($B76="","",ROUND('Premiums Rates'!$J$94*(1+Premium!$C$21)^($B76-1),2))</f>
        <v/>
      </c>
      <c r="K76" s="260" t="str">
        <f>IF($C76="","",IF(AND($B76&gt;='Premiums Rates'!$AL$4,$B76&lt;='Premiums Rates'!$AL$28),$J76*365,0))</f>
        <v/>
      </c>
      <c r="L76" s="260" t="str">
        <f>IF($C76="","",IF(OR(Premium!$C$9="Joint",Premium!$C$9="Individual Plus Additional Insured"),$K76,0))</f>
        <v/>
      </c>
      <c r="M76" s="260" t="str">
        <f>IF($B76="","",IF(OR(Premium!$C$19="No",Premium!$C$18="Lifetime"),0,IF(AND($B76&gt;='Premiums Rates'!$AL$4+VALUE(LEFT(Premium!$C$18,1)),$B76&lt;('Premiums Rates'!$AL$4+2*VALUE(LEFT(Premium!$C$18,1))),OR(Premium!$C$9="Joint",Premium!$C$9="Individual Plus Additional Insured"),Premium!$C$19="Yes"),$J76*365,0)))</f>
        <v/>
      </c>
      <c r="N76" s="260" t="str">
        <f>IF($B76="","",IF(OR(Premium!$C$9="Joint",Premium!$C$9="Individual Plus Additional Insured"),K76+L76+M76,K76+M76))</f>
        <v/>
      </c>
      <c r="O76" s="260" t="str">
        <f>IF($C76="","",IF(Premium!$C$28="None",0,IF(LEFT(Premium!$C$28,4)="FROP",SUM($E$4:$E76),MAX(0,SUM($E$4:$E76)-SUM($N$4:$N75)))))</f>
        <v/>
      </c>
      <c r="P76" s="260" t="str">
        <f>IF($B76="","",IF(RIGHT(Premium!$C$28,1)="S",MAX(0,0.8*SUM($E$4:$E76)-SUM($N$4:$N75)),0))</f>
        <v/>
      </c>
      <c r="Q76" s="260" t="str">
        <f t="shared" si="12"/>
        <v/>
      </c>
    </row>
    <row r="77" spans="1:17">
      <c r="B77" s="257" t="str">
        <f t="shared" si="13"/>
        <v/>
      </c>
      <c r="C77" s="257" t="str">
        <f>IF(OR(C76="",C76=(Premium!$G$8-1)),"",$C76+1)</f>
        <v/>
      </c>
      <c r="D77" s="257" t="str">
        <f>IF(OR(C77="",$D76=Premium!$G$8,$D76=""),"",$D76+1)</f>
        <v/>
      </c>
      <c r="E77" s="258" t="str">
        <f>IF($B77="","",IF(Premium!$C$24&lt;&gt;"Lifetime Pay",0,IF($B77&lt;='Premiums Rates'!$AL$27,$E76+IF(Premium!$D$31="N/A",0,Premium!$D$31*VLOOKUP(Premium!$C$25,'Premiums Rates'!$O$111:$P$114,2,0)),0)))</f>
        <v/>
      </c>
      <c r="F77" s="258">
        <f t="shared" si="10"/>
        <v>0</v>
      </c>
      <c r="G77" s="258">
        <f>IF($B77="",0,MIN(VLOOKUP($C77,'Premiums Rates'!$AK$32:$AM$36,3,1)*(1+'Premiums Rates'!$AU$7)^($B77-1)+IF(OR(Premium!$C$9="Joint",Premium!$C$9="Individual Plus Additional Insured"),VLOOKUP($D77,'Premiums Rates'!$AK$32:$AM$36,3,1)*(1+'Premiums Rates'!$AU$7)^($B77-1)),F77))</f>
        <v>0</v>
      </c>
      <c r="H77" s="258">
        <f>IF($C77="",0,IF('Premiums Rates'!$AL$6="None",0,IF('Premiums Rates'!$AL$6="C-Corp",$F77*'Premiums Rates'!$AL$5,$G77*'Premiums Rates'!$AL$5)))</f>
        <v>0</v>
      </c>
      <c r="I77" s="258" t="str">
        <f t="shared" si="11"/>
        <v/>
      </c>
      <c r="J77" s="259" t="str">
        <f>IF($B77="","",ROUND('Premiums Rates'!$J$94*(1+Premium!$C$21)^($B77-1),2))</f>
        <v/>
      </c>
      <c r="K77" s="260" t="str">
        <f>IF($C77="","",IF(AND($B77&gt;='Premiums Rates'!$AL$4,$B77&lt;='Premiums Rates'!$AL$28),$J77*365,0))</f>
        <v/>
      </c>
      <c r="L77" s="260" t="str">
        <f>IF($C77="","",IF(OR(Premium!$C$9="Joint",Premium!$C$9="Individual Plus Additional Insured"),$K77,0))</f>
        <v/>
      </c>
      <c r="M77" s="260" t="str">
        <f>IF($B77="","",IF(OR(Premium!$C$19="No",Premium!$C$18="Lifetime"),0,IF(AND($B77&gt;='Premiums Rates'!$AL$4+VALUE(LEFT(Premium!$C$18,1)),$B77&lt;('Premiums Rates'!$AL$4+2*VALUE(LEFT(Premium!$C$18,1))),OR(Premium!$C$9="Joint",Premium!$C$9="Individual Plus Additional Insured"),Premium!$C$19="Yes"),$J77*365,0)))</f>
        <v/>
      </c>
      <c r="N77" s="260" t="str">
        <f>IF($B77="","",IF(OR(Premium!$C$9="Joint",Premium!$C$9="Individual Plus Additional Insured"),K77+L77+M77,K77+M77))</f>
        <v/>
      </c>
      <c r="O77" s="260" t="str">
        <f>IF($C77="","",IF(Premium!$C$28="None",0,IF(LEFT(Premium!$C$28,4)="FROP",SUM($E$4:$E77),MAX(0,SUM($E$4:$E77)-SUM($N$4:$N76)))))</f>
        <v/>
      </c>
      <c r="P77" s="260" t="str">
        <f>IF($B77="","",IF(RIGHT(Premium!$C$28,1)="S",MAX(0,0.8*SUM($E$4:$E77)-SUM($N$4:$N76)),0))</f>
        <v/>
      </c>
      <c r="Q77" s="260" t="str">
        <f t="shared" si="12"/>
        <v/>
      </c>
    </row>
    <row r="78" spans="1:17">
      <c r="B78" s="257" t="str">
        <f t="shared" si="13"/>
        <v/>
      </c>
      <c r="C78" s="257" t="str">
        <f>IF(OR(C77="",C77=(Premium!$G$8-1)),"",$C77+1)</f>
        <v/>
      </c>
      <c r="D78" s="257" t="str">
        <f>IF(OR(C78="",$D77=Premium!$G$8,$D77=""),"",$D77+1)</f>
        <v/>
      </c>
      <c r="E78" s="258" t="str">
        <f>IF($B78="","",IF(Premium!$C$24&lt;&gt;"Lifetime Pay",0,IF($B78&lt;='Premiums Rates'!$AL$27,$E77+IF(Premium!$D$31="N/A",0,Premium!$D$31*VLOOKUP(Premium!$C$25,'Premiums Rates'!$O$111:$P$114,2,0)),0)))</f>
        <v/>
      </c>
      <c r="F78" s="258">
        <f t="shared" si="10"/>
        <v>0</v>
      </c>
      <c r="G78" s="258">
        <f>IF($B78="",0,MIN(VLOOKUP($C78,'Premiums Rates'!$AK$32:$AM$36,3,1)*(1+'Premiums Rates'!$AU$7)^($B78-1)+IF(OR(Premium!$C$9="Joint",Premium!$C$9="Individual Plus Additional Insured"),VLOOKUP($D78,'Premiums Rates'!$AK$32:$AM$36,3,1)*(1+'Premiums Rates'!$AU$7)^($B78-1)),F78))</f>
        <v>0</v>
      </c>
      <c r="H78" s="258">
        <f>IF($C78="",0,IF('Premiums Rates'!$AL$6="None",0,IF('Premiums Rates'!$AL$6="C-Corp",$F78*'Premiums Rates'!$AL$5,$G78*'Premiums Rates'!$AL$5)))</f>
        <v>0</v>
      </c>
      <c r="I78" s="258" t="str">
        <f t="shared" si="11"/>
        <v/>
      </c>
      <c r="J78" s="259" t="str">
        <f>IF($B78="","",ROUND('Premiums Rates'!$J$94*(1+Premium!$C$21)^($B78-1),2))</f>
        <v/>
      </c>
      <c r="K78" s="260" t="str">
        <f>IF($C78="","",IF(AND($B78&gt;='Premiums Rates'!$AL$4,$B78&lt;='Premiums Rates'!$AL$28),$J78*365,0))</f>
        <v/>
      </c>
      <c r="L78" s="260" t="str">
        <f>IF($C78="","",IF(OR(Premium!$C$9="Joint",Premium!$C$9="Individual Plus Additional Insured"),$K78,0))</f>
        <v/>
      </c>
      <c r="M78" s="260" t="str">
        <f>IF($B78="","",IF(OR(Premium!$C$19="No",Premium!$C$18="Lifetime"),0,IF(AND($B78&gt;='Premiums Rates'!$AL$4+VALUE(LEFT(Premium!$C$18,1)),$B78&lt;('Premiums Rates'!$AL$4+2*VALUE(LEFT(Premium!$C$18,1))),OR(Premium!$C$9="Joint",Premium!$C$9="Individual Plus Additional Insured"),Premium!$C$19="Yes"),$J78*365,0)))</f>
        <v/>
      </c>
      <c r="N78" s="260" t="str">
        <f>IF($B78="","",IF(OR(Premium!$C$9="Joint",Premium!$C$9="Individual Plus Additional Insured"),K78+L78+M78,K78+M78))</f>
        <v/>
      </c>
      <c r="O78" s="260" t="str">
        <f>IF($C78="","",IF(Premium!$C$28="None",0,IF(LEFT(Premium!$C$28,4)="FROP",SUM($E$4:$E78),MAX(0,SUM($E$4:$E78)-SUM($N$4:$N77)))))</f>
        <v/>
      </c>
      <c r="P78" s="260" t="str">
        <f>IF($B78="","",IF(RIGHT(Premium!$C$28,1)="S",MAX(0,0.8*SUM($E$4:$E78)-SUM($N$4:$N77)),0))</f>
        <v/>
      </c>
      <c r="Q78" s="260" t="str">
        <f t="shared" si="12"/>
        <v/>
      </c>
    </row>
  </sheetData>
  <sheetProtection algorithmName="SHA-512" hashValue="eAlwITu5xSkzkc6bqj5ys6NtN1hRLKjK2+NXGylDX0CpWHfp6M3IbBias99ONCoJw2cAvT7y4FG1jY5BeZ28eQ==" saltValue="Gj9TB3beQtYyuvc43rqhDQ==" spinCount="100000" sheet="1" objects="1" scenarios="1" selectLockedCells="1"/>
  <mergeCells count="1">
    <mergeCell ref="A1:Q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14"/>
  <sheetViews>
    <sheetView showGridLines="0" zoomScale="120" zoomScaleNormal="120" workbookViewId="0">
      <selection activeCell="B9" sqref="B9"/>
    </sheetView>
  </sheetViews>
  <sheetFormatPr defaultRowHeight="15"/>
  <cols>
    <col min="1" max="1" width="39" style="250" customWidth="1"/>
    <col min="2" max="2" width="125" style="250" customWidth="1"/>
    <col min="3" max="16384" width="9.140625" style="250"/>
  </cols>
  <sheetData>
    <row r="1" spans="1:2" s="251" customFormat="1" ht="21">
      <c r="A1" s="252" t="s">
        <v>212</v>
      </c>
      <c r="B1" s="252" t="s">
        <v>213</v>
      </c>
    </row>
    <row r="2" spans="1:2" ht="35.1" customHeight="1">
      <c r="A2" s="278" t="s">
        <v>221</v>
      </c>
      <c r="B2" s="279" t="s">
        <v>222</v>
      </c>
    </row>
    <row r="3" spans="1:2" ht="35.1" customHeight="1">
      <c r="A3" s="280" t="s">
        <v>223</v>
      </c>
      <c r="B3" s="281" t="s">
        <v>224</v>
      </c>
    </row>
    <row r="4" spans="1:2" ht="35.1" customHeight="1">
      <c r="A4" s="278" t="s">
        <v>61</v>
      </c>
      <c r="B4" s="279" t="s">
        <v>225</v>
      </c>
    </row>
    <row r="5" spans="1:2" ht="35.1" customHeight="1">
      <c r="A5" s="280" t="s">
        <v>252</v>
      </c>
      <c r="B5" s="281" t="s">
        <v>253</v>
      </c>
    </row>
    <row r="6" spans="1:2" ht="38.25" customHeight="1">
      <c r="A6" s="278" t="s">
        <v>226</v>
      </c>
      <c r="B6" s="279" t="s">
        <v>256</v>
      </c>
    </row>
    <row r="7" spans="1:2" ht="35.1" customHeight="1">
      <c r="A7" s="280" t="s">
        <v>235</v>
      </c>
      <c r="B7" s="281" t="s">
        <v>227</v>
      </c>
    </row>
    <row r="8" spans="1:2" ht="35.1" customHeight="1">
      <c r="A8" s="278" t="s">
        <v>236</v>
      </c>
      <c r="B8" s="279" t="s">
        <v>228</v>
      </c>
    </row>
    <row r="9" spans="1:2" ht="35.1" customHeight="1">
      <c r="A9" s="280" t="s">
        <v>237</v>
      </c>
      <c r="B9" s="281" t="s">
        <v>229</v>
      </c>
    </row>
    <row r="10" spans="1:2" ht="35.1" customHeight="1">
      <c r="A10" s="278" t="s">
        <v>230</v>
      </c>
      <c r="B10" s="279" t="s">
        <v>231</v>
      </c>
    </row>
    <row r="11" spans="1:2" ht="35.1" customHeight="1">
      <c r="A11" s="280" t="s">
        <v>211</v>
      </c>
      <c r="B11" s="281" t="s">
        <v>232</v>
      </c>
    </row>
    <row r="12" spans="1:2" ht="35.1" customHeight="1">
      <c r="A12" s="278" t="s">
        <v>234</v>
      </c>
      <c r="B12" s="279" t="s">
        <v>233</v>
      </c>
    </row>
    <row r="13" spans="1:2" ht="35.1" customHeight="1">
      <c r="A13" s="280" t="s">
        <v>248</v>
      </c>
      <c r="B13" s="281" t="s">
        <v>260</v>
      </c>
    </row>
    <row r="14" spans="1:2" ht="35.1" customHeight="1">
      <c r="A14" s="278" t="s">
        <v>249</v>
      </c>
      <c r="B14" s="279" t="s">
        <v>250</v>
      </c>
    </row>
  </sheetData>
  <sheetProtection algorithmName="SHA-512" hashValue="Usnlp/4u22BB0Ts1AiDBv5/dkDfdzsxcIcrcOUdPbW8yKUgQAK1/ueBA53AEYuWYKq+IwKlUOsg5/B54BLcp8w==" saltValue="IKgYF3Ji3gMtu8zDhpYAK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DU126"/>
  <sheetViews>
    <sheetView showGridLines="0" topLeftCell="A79" zoomScale="75" zoomScaleNormal="75" zoomScalePageLayoutView="75" workbookViewId="0">
      <selection activeCell="F103" sqref="F103"/>
    </sheetView>
  </sheetViews>
  <sheetFormatPr defaultColWidth="8.85546875" defaultRowHeight="15.75"/>
  <cols>
    <col min="1" max="1" width="13.42578125" style="32" customWidth="1"/>
    <col min="2" max="2" width="14.7109375" style="32" customWidth="1"/>
    <col min="3" max="3" width="15.7109375" style="32" bestFit="1" customWidth="1"/>
    <col min="4" max="4" width="14.28515625" style="32" customWidth="1"/>
    <col min="5" max="5" width="15.140625" style="32" bestFit="1" customWidth="1"/>
    <col min="6" max="6" width="19.140625" style="32" bestFit="1" customWidth="1"/>
    <col min="7" max="7" width="23.140625" style="32" customWidth="1"/>
    <col min="8" max="8" width="4.85546875" style="32" bestFit="1" customWidth="1"/>
    <col min="9" max="9" width="18.85546875" style="32" customWidth="1"/>
    <col min="10" max="10" width="18.7109375" style="32" customWidth="1"/>
    <col min="11" max="11" width="13.42578125" style="32" customWidth="1"/>
    <col min="12" max="12" width="17.28515625" style="32" customWidth="1"/>
    <col min="13" max="16" width="8.85546875" style="32"/>
    <col min="17" max="17" width="31.7109375" style="32" bestFit="1" customWidth="1"/>
    <col min="18" max="18" width="12.140625" style="32" customWidth="1"/>
    <col min="19" max="21" width="8.85546875" style="32"/>
    <col min="22" max="22" width="9.28515625" style="32" bestFit="1" customWidth="1"/>
    <col min="23" max="23" width="7" style="32" customWidth="1"/>
    <col min="24" max="24" width="7.85546875" style="32" customWidth="1"/>
    <col min="25" max="28" width="8.85546875" style="32"/>
    <col min="29" max="31" width="11.42578125" style="32" customWidth="1"/>
    <col min="32" max="36" width="8.85546875" style="32"/>
    <col min="37" max="37" width="27.42578125" style="167" customWidth="1"/>
    <col min="38" max="38" width="14.5703125" style="167" customWidth="1"/>
    <col min="39" max="39" width="9.42578125" style="167" customWidth="1"/>
    <col min="40" max="40" width="10.5703125" style="167" customWidth="1"/>
    <col min="41" max="45" width="8.85546875" style="32"/>
    <col min="46" max="46" width="29.5703125" style="196" customWidth="1"/>
    <col min="47" max="47" width="14.5703125" style="196" customWidth="1"/>
    <col min="48" max="49" width="8.85546875" style="32"/>
    <col min="50" max="50" width="8.85546875" style="297"/>
    <col min="51" max="51" width="8.85546875" style="303"/>
    <col min="52" max="57" width="24.85546875" style="303" customWidth="1"/>
    <col min="58" max="78" width="14" style="303" customWidth="1"/>
    <col min="79" max="80" width="8.85546875" style="297"/>
    <col min="81" max="81" width="8.85546875" style="303"/>
    <col min="82" max="87" width="23.85546875" style="303" customWidth="1"/>
    <col min="88" max="101" width="10.5703125" style="303" customWidth="1"/>
    <col min="102" max="102" width="11.42578125" style="303" customWidth="1"/>
    <col min="103" max="103" width="8.85546875" style="297"/>
    <col min="104" max="104" width="8.85546875" style="303"/>
    <col min="105" max="110" width="23.85546875" style="303" customWidth="1"/>
    <col min="111" max="124" width="10.42578125" style="303" customWidth="1"/>
    <col min="125" max="125" width="11.42578125" style="303" customWidth="1"/>
    <col min="126" max="16384" width="8.85546875" style="32"/>
  </cols>
  <sheetData>
    <row r="1" spans="1:125">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2"/>
      <c r="AT1" s="202"/>
      <c r="AU1" s="202"/>
      <c r="AY1" s="298" t="s">
        <v>265</v>
      </c>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C1" s="298" t="s">
        <v>265</v>
      </c>
      <c r="CD1" s="299"/>
      <c r="CE1" s="299"/>
      <c r="CF1" s="299"/>
      <c r="CG1" s="299"/>
      <c r="CH1" s="299"/>
      <c r="CI1" s="299"/>
      <c r="CJ1" s="299"/>
      <c r="CK1" s="299"/>
      <c r="CL1" s="299"/>
      <c r="CM1" s="299"/>
      <c r="CN1" s="299"/>
      <c r="CO1" s="299"/>
      <c r="CP1" s="299"/>
      <c r="CQ1" s="299"/>
      <c r="CR1" s="299"/>
      <c r="CS1" s="299"/>
      <c r="CT1" s="299"/>
      <c r="CU1" s="299"/>
      <c r="CV1" s="299"/>
      <c r="CW1" s="299"/>
      <c r="CX1" s="300"/>
      <c r="CZ1" s="298" t="s">
        <v>265</v>
      </c>
      <c r="DA1" s="299"/>
      <c r="DB1" s="299"/>
      <c r="DC1" s="299"/>
      <c r="DD1" s="299"/>
      <c r="DE1" s="299"/>
      <c r="DF1" s="299"/>
      <c r="DG1" s="299"/>
      <c r="DH1" s="299"/>
      <c r="DI1" s="299"/>
      <c r="DJ1" s="299"/>
      <c r="DK1" s="299"/>
      <c r="DL1" s="299"/>
      <c r="DM1" s="299"/>
      <c r="DN1" s="299"/>
      <c r="DO1" s="299"/>
      <c r="DP1" s="299"/>
      <c r="DQ1" s="299"/>
      <c r="DR1" s="299"/>
      <c r="DS1" s="299"/>
      <c r="DT1" s="299"/>
      <c r="DU1" s="299"/>
    </row>
    <row r="2" spans="1:125" ht="18.75">
      <c r="A2" s="533" t="s">
        <v>79</v>
      </c>
      <c r="B2" s="533"/>
      <c r="C2" s="533"/>
      <c r="D2" s="533"/>
      <c r="E2" s="533"/>
      <c r="F2" s="533"/>
      <c r="G2" s="533"/>
      <c r="H2" s="533"/>
      <c r="I2" s="51"/>
      <c r="J2" s="51"/>
      <c r="K2" s="51"/>
      <c r="L2" s="51"/>
      <c r="M2" s="51"/>
      <c r="N2" s="51"/>
      <c r="O2" s="51"/>
      <c r="P2" s="51"/>
      <c r="Q2" s="51"/>
      <c r="R2" s="51"/>
      <c r="S2" s="51"/>
      <c r="T2" s="51"/>
      <c r="U2" s="51"/>
      <c r="V2" s="51"/>
      <c r="W2" s="51"/>
      <c r="X2" s="51"/>
      <c r="Y2" s="51"/>
      <c r="Z2" s="51"/>
      <c r="AA2" s="51"/>
      <c r="AB2" s="51"/>
      <c r="AC2" s="51"/>
      <c r="AD2" s="51"/>
      <c r="AE2" s="51"/>
      <c r="AK2" s="174" t="s">
        <v>144</v>
      </c>
      <c r="AL2" s="175"/>
      <c r="AM2" s="175"/>
      <c r="AN2" s="175"/>
      <c r="AY2" s="298" t="s">
        <v>266</v>
      </c>
      <c r="AZ2" s="299"/>
      <c r="BA2" s="299"/>
      <c r="BB2" s="299"/>
      <c r="BC2" s="299"/>
      <c r="BD2" s="299"/>
      <c r="BE2" s="299"/>
      <c r="BF2" s="299"/>
      <c r="BG2" s="299"/>
      <c r="BH2" s="299"/>
      <c r="BI2" s="299"/>
      <c r="BJ2" s="299"/>
      <c r="BK2" s="299"/>
      <c r="BL2" s="299"/>
      <c r="BM2" s="299"/>
      <c r="BN2" s="299"/>
      <c r="BO2" s="299"/>
      <c r="BP2" s="299"/>
      <c r="BQ2" s="299"/>
      <c r="BR2" s="299"/>
      <c r="BS2" s="299"/>
      <c r="BT2" s="299"/>
      <c r="BU2" s="299"/>
      <c r="BV2" s="299"/>
      <c r="BW2" s="299"/>
      <c r="BX2" s="299"/>
      <c r="BY2" s="299"/>
      <c r="BZ2" s="299"/>
      <c r="CC2" s="298" t="s">
        <v>266</v>
      </c>
      <c r="CD2" s="299"/>
      <c r="CE2" s="299"/>
      <c r="CF2" s="299"/>
      <c r="CG2" s="299"/>
      <c r="CH2" s="299"/>
      <c r="CI2" s="299"/>
      <c r="CJ2" s="299"/>
      <c r="CK2" s="299"/>
      <c r="CL2" s="299"/>
      <c r="CM2" s="299"/>
      <c r="CN2" s="299"/>
      <c r="CO2" s="299"/>
      <c r="CP2" s="299"/>
      <c r="CQ2" s="299"/>
      <c r="CR2" s="299"/>
      <c r="CS2" s="299"/>
      <c r="CT2" s="299"/>
      <c r="CU2" s="299"/>
      <c r="CV2" s="299"/>
      <c r="CW2" s="299"/>
      <c r="CX2" s="300"/>
      <c r="CZ2" s="298" t="s">
        <v>266</v>
      </c>
      <c r="DA2" s="299"/>
      <c r="DB2" s="299"/>
      <c r="DC2" s="299"/>
      <c r="DD2" s="299"/>
      <c r="DE2" s="299"/>
      <c r="DF2" s="299"/>
      <c r="DG2" s="299"/>
      <c r="DH2" s="299"/>
      <c r="DI2" s="299"/>
      <c r="DJ2" s="299"/>
      <c r="DK2" s="299"/>
      <c r="DL2" s="299"/>
      <c r="DM2" s="299"/>
      <c r="DN2" s="299"/>
      <c r="DO2" s="299"/>
      <c r="DP2" s="299"/>
      <c r="DQ2" s="299"/>
      <c r="DR2" s="299"/>
      <c r="DS2" s="299"/>
      <c r="DT2" s="299"/>
      <c r="DU2" s="299"/>
    </row>
    <row r="3" spans="1:125">
      <c r="AK3" s="176" t="s">
        <v>145</v>
      </c>
      <c r="AL3" s="177">
        <v>4.4999999999999998E-2</v>
      </c>
      <c r="AM3" s="178"/>
      <c r="AN3" s="178"/>
      <c r="AY3" s="298" t="s">
        <v>267</v>
      </c>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C3" s="298" t="s">
        <v>267</v>
      </c>
      <c r="CD3" s="299"/>
      <c r="CE3" s="299"/>
      <c r="CF3" s="299"/>
      <c r="CG3" s="299"/>
      <c r="CH3" s="299"/>
      <c r="CI3" s="299"/>
      <c r="CJ3" s="299"/>
      <c r="CK3" s="299"/>
      <c r="CL3" s="299"/>
      <c r="CM3" s="299"/>
      <c r="CN3" s="299"/>
      <c r="CO3" s="299"/>
      <c r="CP3" s="299"/>
      <c r="CQ3" s="299"/>
      <c r="CR3" s="299"/>
      <c r="CS3" s="299"/>
      <c r="CT3" s="299"/>
      <c r="CU3" s="299"/>
      <c r="CV3" s="299"/>
      <c r="CW3" s="299"/>
      <c r="CX3" s="300"/>
      <c r="CZ3" s="298" t="s">
        <v>267</v>
      </c>
      <c r="DA3" s="299"/>
      <c r="DB3" s="299"/>
      <c r="DC3" s="299"/>
      <c r="DD3" s="299"/>
      <c r="DE3" s="299"/>
      <c r="DF3" s="299"/>
      <c r="DG3" s="299"/>
      <c r="DH3" s="299"/>
      <c r="DI3" s="299"/>
      <c r="DJ3" s="299"/>
      <c r="DK3" s="299"/>
      <c r="DL3" s="299"/>
      <c r="DM3" s="299"/>
      <c r="DN3" s="299"/>
      <c r="DO3" s="299"/>
      <c r="DP3" s="299"/>
      <c r="DQ3" s="299"/>
      <c r="DR3" s="299"/>
      <c r="DS3" s="299"/>
      <c r="DT3" s="299"/>
      <c r="DU3" s="299"/>
    </row>
    <row r="4" spans="1:125" ht="30" customHeight="1">
      <c r="A4" s="83"/>
      <c r="B4" s="532" t="s">
        <v>75</v>
      </c>
      <c r="C4" s="532"/>
      <c r="D4" s="532"/>
      <c r="E4" s="532"/>
      <c r="F4" s="532"/>
      <c r="G4" s="532"/>
      <c r="H4" s="84"/>
      <c r="I4" s="534" t="s">
        <v>2</v>
      </c>
      <c r="J4" s="534"/>
      <c r="K4" s="534"/>
      <c r="L4" s="534"/>
      <c r="M4" s="534"/>
      <c r="N4" s="534"/>
      <c r="O4" s="534"/>
      <c r="P4" s="534"/>
      <c r="Q4" s="534"/>
      <c r="R4" s="534"/>
      <c r="S4" s="534"/>
      <c r="T4" s="534"/>
      <c r="U4" s="534"/>
      <c r="V4" s="534"/>
      <c r="W4" s="534"/>
      <c r="X4" s="534"/>
      <c r="Y4" s="534"/>
      <c r="Z4" s="534"/>
      <c r="AA4" s="534"/>
      <c r="AB4" s="534"/>
      <c r="AC4" s="534"/>
      <c r="AD4" s="534"/>
      <c r="AE4" s="534"/>
      <c r="AK4" s="176" t="s">
        <v>198</v>
      </c>
      <c r="AL4" s="179">
        <f>Premium!G7-Premium!$C$8+1</f>
        <v>26</v>
      </c>
      <c r="AM4" s="178"/>
      <c r="AN4" s="178"/>
      <c r="AY4" s="298" t="s">
        <v>268</v>
      </c>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C4" s="298" t="s">
        <v>269</v>
      </c>
      <c r="CD4" s="299"/>
      <c r="CE4" s="299"/>
      <c r="CF4" s="299"/>
      <c r="CG4" s="299"/>
      <c r="CH4" s="299"/>
      <c r="CI4" s="299"/>
      <c r="CJ4" s="299"/>
      <c r="CK4" s="299"/>
      <c r="CL4" s="299"/>
      <c r="CM4" s="299"/>
      <c r="CN4" s="299"/>
      <c r="CO4" s="299"/>
      <c r="CP4" s="299"/>
      <c r="CQ4" s="299"/>
      <c r="CR4" s="299"/>
      <c r="CS4" s="299"/>
      <c r="CT4" s="299"/>
      <c r="CU4" s="299"/>
      <c r="CV4" s="299"/>
      <c r="CW4" s="299"/>
      <c r="CX4" s="300"/>
      <c r="CZ4" s="298" t="s">
        <v>270</v>
      </c>
      <c r="DA4" s="299"/>
      <c r="DB4" s="299"/>
      <c r="DC4" s="299"/>
      <c r="DD4" s="299"/>
      <c r="DE4" s="299"/>
      <c r="DF4" s="299"/>
      <c r="DG4" s="299"/>
      <c r="DH4" s="299"/>
      <c r="DI4" s="299"/>
      <c r="DJ4" s="299"/>
      <c r="DK4" s="299"/>
      <c r="DL4" s="299"/>
      <c r="DM4" s="299"/>
      <c r="DN4" s="299"/>
      <c r="DO4" s="299"/>
      <c r="DP4" s="299"/>
      <c r="DQ4" s="299"/>
      <c r="DR4" s="299"/>
      <c r="DS4" s="299"/>
      <c r="DT4" s="299"/>
      <c r="DU4" s="299"/>
    </row>
    <row r="5" spans="1:125">
      <c r="A5" s="53"/>
      <c r="B5" s="73"/>
      <c r="C5" s="73"/>
      <c r="D5" s="73"/>
      <c r="E5" s="87"/>
      <c r="F5" s="73"/>
      <c r="G5" s="73"/>
      <c r="H5" s="54"/>
      <c r="I5" s="77"/>
      <c r="J5" s="78"/>
      <c r="K5" s="78"/>
      <c r="L5" s="78"/>
      <c r="M5" s="78"/>
      <c r="N5" s="78"/>
      <c r="O5" s="78"/>
      <c r="P5" s="78"/>
      <c r="Q5" s="78"/>
      <c r="R5" s="78"/>
      <c r="S5" s="82"/>
      <c r="T5" s="78"/>
      <c r="U5" s="78"/>
      <c r="V5" s="78"/>
      <c r="W5" s="78"/>
      <c r="X5" s="78"/>
      <c r="Y5" s="78"/>
      <c r="Z5" s="78"/>
      <c r="AA5" s="78"/>
      <c r="AB5" s="78"/>
      <c r="AC5" s="78"/>
      <c r="AD5" s="78"/>
      <c r="AE5" s="78"/>
      <c r="AK5" s="176" t="s">
        <v>159</v>
      </c>
      <c r="AL5" s="177">
        <f>'Premiums Rates'!E86</f>
        <v>0.35</v>
      </c>
      <c r="AM5" s="172"/>
      <c r="AN5" s="172"/>
      <c r="AY5" s="298"/>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301"/>
      <c r="BZ5" s="300"/>
      <c r="CC5" s="298"/>
      <c r="CD5" s="299"/>
      <c r="CE5" s="299"/>
      <c r="CF5" s="299"/>
      <c r="CG5" s="299"/>
      <c r="CH5" s="299"/>
      <c r="CI5" s="299"/>
      <c r="CJ5" s="299"/>
      <c r="CK5" s="299"/>
      <c r="CL5" s="299"/>
      <c r="CM5" s="299"/>
      <c r="CN5" s="299"/>
      <c r="CO5" s="299"/>
      <c r="CP5" s="299"/>
      <c r="CQ5" s="299"/>
      <c r="CR5" s="299"/>
      <c r="CS5" s="299"/>
      <c r="CT5" s="299"/>
      <c r="CU5" s="299"/>
      <c r="CV5" s="299"/>
      <c r="CW5" s="299"/>
      <c r="CX5" s="300"/>
      <c r="CZ5" s="298"/>
      <c r="DA5" s="299"/>
      <c r="DB5" s="299"/>
      <c r="DC5" s="299"/>
      <c r="DD5" s="299"/>
      <c r="DE5" s="299"/>
      <c r="DF5" s="299"/>
      <c r="DG5" s="299"/>
      <c r="DH5" s="299"/>
      <c r="DI5" s="299"/>
      <c r="DJ5" s="299"/>
      <c r="DK5" s="299"/>
      <c r="DL5" s="299"/>
      <c r="DM5" s="299"/>
      <c r="DN5" s="299"/>
      <c r="DO5" s="299"/>
      <c r="DP5" s="299"/>
      <c r="DQ5" s="299"/>
      <c r="DR5" s="299"/>
      <c r="DS5" s="299"/>
      <c r="DT5" s="299"/>
      <c r="DU5" s="301"/>
    </row>
    <row r="6" spans="1:125">
      <c r="A6" s="55"/>
      <c r="B6" s="75"/>
      <c r="C6" s="74"/>
      <c r="D6" s="74"/>
      <c r="E6" s="74"/>
      <c r="F6" s="74"/>
      <c r="G6" s="76"/>
      <c r="H6" s="30"/>
      <c r="I6" s="81"/>
      <c r="J6" s="79"/>
      <c r="K6" s="78"/>
      <c r="L6" s="79"/>
      <c r="M6" s="79"/>
      <c r="N6" s="79"/>
      <c r="O6" s="79"/>
      <c r="P6" s="79"/>
      <c r="Q6" s="79"/>
      <c r="R6" s="79"/>
      <c r="S6" s="79"/>
      <c r="T6" s="79"/>
      <c r="U6" s="79"/>
      <c r="V6" s="79"/>
      <c r="W6" s="79"/>
      <c r="X6" s="79"/>
      <c r="Y6" s="79"/>
      <c r="Z6" s="79"/>
      <c r="AA6" s="79"/>
      <c r="AB6" s="79"/>
      <c r="AC6" s="79"/>
      <c r="AD6" s="79"/>
      <c r="AE6" s="80"/>
      <c r="AK6" s="176" t="s">
        <v>152</v>
      </c>
      <c r="AL6" s="176" t="str">
        <f>'Premiums Rates'!E85</f>
        <v>None</v>
      </c>
      <c r="AM6" s="180"/>
      <c r="AN6" s="180"/>
      <c r="AY6" s="298" t="s">
        <v>271</v>
      </c>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C6" s="298" t="s">
        <v>272</v>
      </c>
      <c r="CD6" s="299"/>
      <c r="CE6" s="299"/>
      <c r="CF6" s="299"/>
      <c r="CG6" s="299"/>
      <c r="CH6" s="299"/>
      <c r="CI6" s="299"/>
      <c r="CJ6" s="299"/>
      <c r="CK6" s="299"/>
      <c r="CL6" s="299"/>
      <c r="CM6" s="299"/>
      <c r="CN6" s="299"/>
      <c r="CO6" s="299"/>
      <c r="CP6" s="299"/>
      <c r="CQ6" s="299"/>
      <c r="CR6" s="299"/>
      <c r="CS6" s="299"/>
      <c r="CT6" s="299"/>
      <c r="CU6" s="299"/>
      <c r="CV6" s="299"/>
      <c r="CW6" s="299"/>
      <c r="CX6" s="300"/>
      <c r="CZ6" s="298" t="s">
        <v>272</v>
      </c>
      <c r="DA6" s="299"/>
      <c r="DB6" s="299"/>
      <c r="DC6" s="299"/>
      <c r="DD6" s="299"/>
      <c r="DE6" s="299"/>
      <c r="DF6" s="299"/>
      <c r="DG6" s="299"/>
      <c r="DH6" s="299"/>
      <c r="DI6" s="299"/>
      <c r="DJ6" s="299"/>
      <c r="DK6" s="299"/>
      <c r="DL6" s="299"/>
      <c r="DM6" s="299"/>
      <c r="DN6" s="299"/>
      <c r="DO6" s="299"/>
      <c r="DP6" s="299"/>
      <c r="DQ6" s="299"/>
      <c r="DR6" s="299"/>
      <c r="DS6" s="299"/>
      <c r="DT6" s="299"/>
      <c r="DU6" s="299"/>
    </row>
    <row r="7" spans="1:125" s="121" customFormat="1" ht="45" customHeight="1" thickBot="1">
      <c r="A7" s="119"/>
      <c r="B7" s="536" t="s">
        <v>42</v>
      </c>
      <c r="C7" s="536"/>
      <c r="D7" s="536"/>
      <c r="E7" s="536"/>
      <c r="F7" s="536"/>
      <c r="G7" s="536"/>
      <c r="H7" s="119"/>
      <c r="I7" s="535" t="s">
        <v>3</v>
      </c>
      <c r="J7" s="535"/>
      <c r="K7" s="120"/>
      <c r="L7" s="536" t="s">
        <v>4</v>
      </c>
      <c r="M7" s="536"/>
      <c r="N7" s="536"/>
      <c r="O7" s="536"/>
      <c r="P7" s="536"/>
      <c r="Q7" s="536"/>
      <c r="R7" s="536"/>
      <c r="S7" s="536"/>
      <c r="T7" s="536"/>
      <c r="U7" s="536"/>
      <c r="V7" s="536"/>
      <c r="W7" s="536"/>
      <c r="X7" s="119"/>
      <c r="Y7" s="531" t="s">
        <v>76</v>
      </c>
      <c r="Z7" s="537"/>
      <c r="AA7" s="537"/>
      <c r="AB7" s="537"/>
      <c r="AD7" s="531" t="s">
        <v>77</v>
      </c>
      <c r="AE7" s="531"/>
      <c r="AK7" s="176" t="s">
        <v>154</v>
      </c>
      <c r="AL7" s="177">
        <f>'Premiums Rates'!AU7</f>
        <v>0.03</v>
      </c>
      <c r="AM7" s="181"/>
      <c r="AN7" s="181"/>
      <c r="AT7" s="292" t="s">
        <v>182</v>
      </c>
      <c r="AU7" s="201">
        <v>0.03</v>
      </c>
      <c r="AX7" s="302"/>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2"/>
      <c r="CB7" s="302"/>
      <c r="CC7" s="303"/>
      <c r="CD7" s="303"/>
      <c r="CE7" s="303"/>
      <c r="CF7" s="303"/>
      <c r="CG7" s="303"/>
      <c r="CH7" s="303"/>
      <c r="CI7" s="303"/>
      <c r="CJ7" s="303"/>
      <c r="CK7" s="303"/>
      <c r="CL7" s="303"/>
      <c r="CM7" s="303"/>
      <c r="CN7" s="303"/>
      <c r="CO7" s="303"/>
      <c r="CP7" s="303"/>
      <c r="CQ7" s="303"/>
      <c r="CR7" s="303"/>
      <c r="CS7" s="303"/>
      <c r="CT7" s="303"/>
      <c r="CU7" s="303"/>
      <c r="CV7" s="303"/>
      <c r="CW7" s="303"/>
      <c r="CX7" s="303"/>
      <c r="CY7" s="302"/>
      <c r="CZ7" s="303"/>
      <c r="DA7" s="303"/>
      <c r="DB7" s="303"/>
      <c r="DC7" s="303"/>
      <c r="DD7" s="303"/>
      <c r="DE7" s="303"/>
      <c r="DF7" s="303"/>
      <c r="DG7" s="303"/>
      <c r="DH7" s="303"/>
      <c r="DI7" s="303"/>
      <c r="DJ7" s="303"/>
      <c r="DK7" s="303"/>
      <c r="DL7" s="303"/>
      <c r="DM7" s="303"/>
      <c r="DN7" s="303"/>
      <c r="DO7" s="303"/>
      <c r="DP7" s="303"/>
      <c r="DQ7" s="303"/>
      <c r="DR7" s="303"/>
      <c r="DS7" s="303"/>
      <c r="DT7" s="303"/>
      <c r="DU7" s="303"/>
    </row>
    <row r="8" spans="1:125">
      <c r="A8" s="55"/>
      <c r="B8" s="526" t="s">
        <v>5</v>
      </c>
      <c r="C8" s="526"/>
      <c r="D8" s="526" t="s">
        <v>6</v>
      </c>
      <c r="E8" s="526"/>
      <c r="F8" s="526" t="s">
        <v>7</v>
      </c>
      <c r="G8" s="526"/>
      <c r="H8" s="72"/>
      <c r="I8" s="117"/>
      <c r="J8" s="118"/>
      <c r="K8" s="88"/>
      <c r="L8" s="78"/>
      <c r="M8" s="78"/>
      <c r="N8" s="78"/>
      <c r="O8" s="78"/>
      <c r="P8" s="78"/>
      <c r="Q8" s="82"/>
      <c r="R8" s="78"/>
      <c r="S8" s="78"/>
      <c r="T8" s="78"/>
      <c r="U8" s="78"/>
      <c r="V8" s="78"/>
      <c r="W8" s="78"/>
      <c r="X8" s="78"/>
      <c r="Y8" s="23" t="s">
        <v>8</v>
      </c>
      <c r="Z8" s="30"/>
      <c r="AA8" s="23" t="s">
        <v>3</v>
      </c>
      <c r="AB8" s="30"/>
      <c r="AD8" s="530" t="s">
        <v>78</v>
      </c>
      <c r="AE8" s="530"/>
      <c r="AM8" s="181"/>
      <c r="AN8" s="181"/>
      <c r="AY8" s="304"/>
      <c r="AZ8" s="305" t="s">
        <v>273</v>
      </c>
      <c r="BA8" s="306"/>
      <c r="BB8" s="306"/>
      <c r="BC8" s="306"/>
      <c r="BD8" s="306"/>
      <c r="BE8" s="306"/>
      <c r="BF8" s="545" t="s">
        <v>2</v>
      </c>
      <c r="BG8" s="552"/>
      <c r="BH8" s="552"/>
      <c r="BI8" s="552"/>
      <c r="BJ8" s="552"/>
      <c r="BK8" s="552"/>
      <c r="BL8" s="552"/>
      <c r="BM8" s="552"/>
      <c r="BN8" s="552"/>
      <c r="BO8" s="552"/>
      <c r="BP8" s="552"/>
      <c r="BQ8" s="552"/>
      <c r="BR8" s="552"/>
      <c r="BS8" s="552"/>
      <c r="BT8" s="552"/>
      <c r="BU8" s="552"/>
      <c r="BV8" s="552"/>
      <c r="BW8" s="552"/>
      <c r="BX8" s="552"/>
      <c r="BY8" s="552"/>
      <c r="BZ8" s="546"/>
      <c r="CC8" s="304"/>
      <c r="CD8" s="305" t="s">
        <v>273</v>
      </c>
      <c r="CE8" s="306"/>
      <c r="CF8" s="306"/>
      <c r="CG8" s="306"/>
      <c r="CH8" s="306"/>
      <c r="CI8" s="307"/>
      <c r="CJ8" s="540" t="s">
        <v>2</v>
      </c>
      <c r="CK8" s="540"/>
      <c r="CL8" s="540"/>
      <c r="CM8" s="540"/>
      <c r="CN8" s="540"/>
      <c r="CO8" s="540"/>
      <c r="CP8" s="540"/>
      <c r="CQ8" s="540"/>
      <c r="CR8" s="540"/>
      <c r="CS8" s="540"/>
      <c r="CT8" s="540"/>
      <c r="CU8" s="540"/>
      <c r="CV8" s="540"/>
      <c r="CW8" s="541"/>
      <c r="CZ8" s="304"/>
      <c r="DA8" s="305" t="s">
        <v>273</v>
      </c>
      <c r="DB8" s="306"/>
      <c r="DC8" s="306"/>
      <c r="DD8" s="306"/>
      <c r="DE8" s="306"/>
      <c r="DF8" s="307"/>
      <c r="DG8" s="539" t="s">
        <v>2</v>
      </c>
      <c r="DH8" s="540"/>
      <c r="DI8" s="540"/>
      <c r="DJ8" s="540"/>
      <c r="DK8" s="540"/>
      <c r="DL8" s="540"/>
      <c r="DM8" s="540"/>
      <c r="DN8" s="540"/>
      <c r="DO8" s="540"/>
      <c r="DP8" s="540"/>
      <c r="DQ8" s="540"/>
      <c r="DR8" s="540"/>
      <c r="DS8" s="540"/>
      <c r="DT8" s="541"/>
    </row>
    <row r="9" spans="1:125" ht="25.5" customHeight="1" thickBot="1">
      <c r="A9" s="71" t="s">
        <v>70</v>
      </c>
      <c r="B9" s="86" t="s">
        <v>71</v>
      </c>
      <c r="C9" s="85" t="s">
        <v>72</v>
      </c>
      <c r="D9" s="71" t="s">
        <v>71</v>
      </c>
      <c r="E9" s="85" t="s">
        <v>72</v>
      </c>
      <c r="F9" s="71" t="s">
        <v>73</v>
      </c>
      <c r="G9" s="85" t="s">
        <v>74</v>
      </c>
      <c r="H9" s="71"/>
      <c r="I9" s="129" t="s">
        <v>43</v>
      </c>
      <c r="J9" s="130" t="s">
        <v>44</v>
      </c>
      <c r="K9" s="31"/>
      <c r="L9" s="538" t="s">
        <v>45</v>
      </c>
      <c r="M9" s="528"/>
      <c r="N9" s="528"/>
      <c r="O9" s="528" t="s">
        <v>46</v>
      </c>
      <c r="P9" s="528"/>
      <c r="Q9" s="528"/>
      <c r="R9" s="528" t="s">
        <v>47</v>
      </c>
      <c r="S9" s="528"/>
      <c r="T9" s="528"/>
      <c r="U9" s="528" t="s">
        <v>48</v>
      </c>
      <c r="V9" s="528"/>
      <c r="W9" s="529"/>
      <c r="X9" s="30"/>
      <c r="Y9" s="131" t="s">
        <v>9</v>
      </c>
      <c r="Z9" s="132"/>
      <c r="AA9" s="133" t="s">
        <v>9</v>
      </c>
      <c r="AB9" s="134"/>
      <c r="AC9" s="56"/>
      <c r="AD9" s="23" t="s">
        <v>10</v>
      </c>
      <c r="AE9" s="89"/>
      <c r="AK9" s="174" t="s">
        <v>150</v>
      </c>
      <c r="AL9" s="182"/>
      <c r="AM9" s="181"/>
      <c r="AN9" s="181"/>
      <c r="AY9" s="308"/>
      <c r="AZ9" s="309" t="s">
        <v>274</v>
      </c>
      <c r="BA9" s="310"/>
      <c r="BB9" s="310"/>
      <c r="BC9" s="310"/>
      <c r="BD9" s="310"/>
      <c r="BE9" s="310"/>
      <c r="BF9" s="549"/>
      <c r="BG9" s="555"/>
      <c r="BH9" s="555"/>
      <c r="BI9" s="555"/>
      <c r="BJ9" s="555"/>
      <c r="BK9" s="555"/>
      <c r="BL9" s="555"/>
      <c r="BM9" s="555"/>
      <c r="BN9" s="555"/>
      <c r="BO9" s="555"/>
      <c r="BP9" s="555"/>
      <c r="BQ9" s="555"/>
      <c r="BR9" s="555"/>
      <c r="BS9" s="555"/>
      <c r="BT9" s="555"/>
      <c r="BU9" s="555"/>
      <c r="BV9" s="555"/>
      <c r="BW9" s="555"/>
      <c r="BX9" s="555"/>
      <c r="BY9" s="555"/>
      <c r="BZ9" s="550"/>
      <c r="CC9" s="308"/>
      <c r="CD9" s="311" t="s">
        <v>274</v>
      </c>
      <c r="CE9" s="312"/>
      <c r="CF9" s="312"/>
      <c r="CG9" s="312"/>
      <c r="CH9" s="312"/>
      <c r="CI9" s="313"/>
      <c r="CJ9" s="543"/>
      <c r="CK9" s="543"/>
      <c r="CL9" s="543"/>
      <c r="CM9" s="543"/>
      <c r="CN9" s="543"/>
      <c r="CO9" s="543"/>
      <c r="CP9" s="543"/>
      <c r="CQ9" s="543"/>
      <c r="CR9" s="543"/>
      <c r="CS9" s="543"/>
      <c r="CT9" s="543"/>
      <c r="CU9" s="543"/>
      <c r="CV9" s="543"/>
      <c r="CW9" s="544"/>
      <c r="CZ9" s="308"/>
      <c r="DA9" s="311" t="s">
        <v>274</v>
      </c>
      <c r="DB9" s="312"/>
      <c r="DC9" s="312"/>
      <c r="DD9" s="312"/>
      <c r="DE9" s="312"/>
      <c r="DF9" s="313"/>
      <c r="DG9" s="542"/>
      <c r="DH9" s="543"/>
      <c r="DI9" s="543"/>
      <c r="DJ9" s="543"/>
      <c r="DK9" s="543"/>
      <c r="DL9" s="543"/>
      <c r="DM9" s="543"/>
      <c r="DN9" s="543"/>
      <c r="DO9" s="543"/>
      <c r="DP9" s="543"/>
      <c r="DQ9" s="543"/>
      <c r="DR9" s="543"/>
      <c r="DS9" s="543"/>
      <c r="DT9" s="544"/>
    </row>
    <row r="10" spans="1:125">
      <c r="A10" s="55"/>
      <c r="B10" s="55"/>
      <c r="C10" s="55"/>
      <c r="D10" s="55"/>
      <c r="E10" s="55"/>
      <c r="F10" s="55"/>
      <c r="G10" s="55"/>
      <c r="H10" s="55"/>
      <c r="I10" s="78"/>
      <c r="J10" s="78"/>
      <c r="K10" s="78"/>
      <c r="L10" s="55" t="s">
        <v>5</v>
      </c>
      <c r="M10" s="55" t="s">
        <v>6</v>
      </c>
      <c r="N10" s="55" t="s">
        <v>7</v>
      </c>
      <c r="O10" s="55" t="s">
        <v>5</v>
      </c>
      <c r="P10" s="55" t="s">
        <v>6</v>
      </c>
      <c r="Q10" s="55" t="s">
        <v>7</v>
      </c>
      <c r="R10" s="55" t="s">
        <v>5</v>
      </c>
      <c r="S10" s="55" t="s">
        <v>6</v>
      </c>
      <c r="T10" s="55" t="s">
        <v>7</v>
      </c>
      <c r="U10" s="55" t="s">
        <v>5</v>
      </c>
      <c r="V10" s="55" t="s">
        <v>6</v>
      </c>
      <c r="W10" s="55" t="s">
        <v>7</v>
      </c>
      <c r="X10" s="55"/>
      <c r="Y10" s="57">
        <v>0.05</v>
      </c>
      <c r="Z10" s="58">
        <v>0.03</v>
      </c>
      <c r="AA10" s="57">
        <v>0.05</v>
      </c>
      <c r="AB10" s="58">
        <v>0.03</v>
      </c>
      <c r="AC10" s="42" t="s">
        <v>11</v>
      </c>
      <c r="AD10" s="135">
        <v>0.05</v>
      </c>
      <c r="AE10" s="136">
        <v>0.03</v>
      </c>
      <c r="AK10" s="176" t="str">
        <f>"Total "&amp;IF('Premiums Rates'!$E$85="None","","After-Tax ")&amp;"Paid Premiums"</f>
        <v>Total Paid Premiums</v>
      </c>
      <c r="AL10" s="183">
        <f ca="1">Projections!$E$3</f>
        <v>81072.999999999971</v>
      </c>
      <c r="AM10" s="181"/>
      <c r="AN10" s="181"/>
      <c r="AY10" s="314"/>
      <c r="AZ10" s="539" t="s">
        <v>275</v>
      </c>
      <c r="BA10" s="540"/>
      <c r="BB10" s="540"/>
      <c r="BC10" s="540"/>
      <c r="BD10" s="540"/>
      <c r="BE10" s="541"/>
      <c r="BF10" s="545" t="s">
        <v>3</v>
      </c>
      <c r="BG10" s="546"/>
      <c r="BH10" s="545" t="s">
        <v>4</v>
      </c>
      <c r="BI10" s="551"/>
      <c r="BJ10" s="552"/>
      <c r="BK10" s="552"/>
      <c r="BL10" s="552"/>
      <c r="BM10" s="552"/>
      <c r="BN10" s="552"/>
      <c r="BO10" s="552"/>
      <c r="BP10" s="552"/>
      <c r="BQ10" s="552"/>
      <c r="BR10" s="552"/>
      <c r="BS10" s="552"/>
      <c r="BT10" s="556" t="s">
        <v>276</v>
      </c>
      <c r="BU10" s="557"/>
      <c r="BV10" s="557"/>
      <c r="BW10" s="558"/>
      <c r="BX10" s="556" t="s">
        <v>277</v>
      </c>
      <c r="BY10" s="557"/>
      <c r="BZ10" s="558"/>
      <c r="CC10" s="314"/>
      <c r="CD10" s="539" t="s">
        <v>278</v>
      </c>
      <c r="CE10" s="540"/>
      <c r="CF10" s="540"/>
      <c r="CG10" s="540"/>
      <c r="CH10" s="540"/>
      <c r="CI10" s="541"/>
      <c r="CJ10" s="545" t="s">
        <v>4</v>
      </c>
      <c r="CK10" s="551"/>
      <c r="CL10" s="552"/>
      <c r="CM10" s="552"/>
      <c r="CN10" s="552"/>
      <c r="CO10" s="552"/>
      <c r="CP10" s="552"/>
      <c r="CQ10" s="552"/>
      <c r="CR10" s="552"/>
      <c r="CS10" s="552"/>
      <c r="CT10" s="552"/>
      <c r="CU10" s="552"/>
      <c r="CV10" s="556" t="s">
        <v>276</v>
      </c>
      <c r="CW10" s="558"/>
      <c r="CZ10" s="314"/>
      <c r="DA10" s="539" t="s">
        <v>279</v>
      </c>
      <c r="DB10" s="540"/>
      <c r="DC10" s="540"/>
      <c r="DD10" s="540"/>
      <c r="DE10" s="540"/>
      <c r="DF10" s="541"/>
      <c r="DG10" s="545" t="s">
        <v>4</v>
      </c>
      <c r="DH10" s="551"/>
      <c r="DI10" s="552"/>
      <c r="DJ10" s="552"/>
      <c r="DK10" s="552"/>
      <c r="DL10" s="552"/>
      <c r="DM10" s="552"/>
      <c r="DN10" s="552"/>
      <c r="DO10" s="552"/>
      <c r="DP10" s="552"/>
      <c r="DQ10" s="552"/>
      <c r="DR10" s="552"/>
      <c r="DS10" s="556" t="s">
        <v>276</v>
      </c>
      <c r="DT10" s="558"/>
    </row>
    <row r="11" spans="1:125" ht="16.5" thickBot="1">
      <c r="A11" s="59">
        <v>40</v>
      </c>
      <c r="B11" s="473">
        <f>IF(Premium!$C$7="FL",IF(Premium!$C$26="No",CD15,DA15),AZ15)</f>
        <v>32.619999999999997</v>
      </c>
      <c r="C11" s="473">
        <f>IF(Premium!$C$7="FL",IF(Premium!$C$26="No",CE15,DB15),BA15)</f>
        <v>40.49</v>
      </c>
      <c r="D11" s="473">
        <f>IF(Premium!$C$7="FL",IF(Premium!$C$26="No",CF15,DC15),BB15)</f>
        <v>50.98</v>
      </c>
      <c r="E11" s="473">
        <f>IF(Premium!$C$7="FL",IF(Premium!$C$26="No",CG15,DD15),BC15)</f>
        <v>61.62</v>
      </c>
      <c r="F11" s="473">
        <f>IF(Premium!$C$7="FL",IF(Premium!$C$26="No",CH15,DE15),BD15)</f>
        <v>50.98</v>
      </c>
      <c r="G11" s="473">
        <f>IF(Premium!$C$7="FL",IF(Premium!$C$26="No",CI15,DF15),BE15)</f>
        <v>61.62</v>
      </c>
      <c r="H11" s="15"/>
      <c r="I11" s="473">
        <f>BF15</f>
        <v>2.85</v>
      </c>
      <c r="J11" s="91">
        <f t="shared" ref="J11:J50" si="0">BG15</f>
        <v>28.5</v>
      </c>
      <c r="K11" s="60"/>
      <c r="L11" s="90">
        <f>IF(Premium!$C$7="FL",IF(Premium!$C$26="No",CJ15,DG15),BH15)</f>
        <v>1.52</v>
      </c>
      <c r="M11" s="96">
        <f>IF(Premium!$C$7="FL",IF(Premium!$C$26="No",CK15,DH15),BI15)</f>
        <v>1.43</v>
      </c>
      <c r="N11" s="105">
        <f>IF(Premium!$C$7="FL",IF(Premium!$C$26="No",CL15,DI15),BJ15)</f>
        <v>1.43</v>
      </c>
      <c r="O11" s="102">
        <f>IF(Premium!$C$7="FL",IF(Premium!$C$26="No",CM15,DJ15),BK15)</f>
        <v>2.08</v>
      </c>
      <c r="P11" s="96">
        <f>IF(Premium!$C$7="FL",IF(Premium!$C$26="No",CN15,DK15),BL15)</f>
        <v>2.04</v>
      </c>
      <c r="Q11" s="105">
        <f>IF(Premium!$C$7="FL",IF(Premium!$C$26="No",CO15,DL15),BM15)</f>
        <v>2.04</v>
      </c>
      <c r="R11" s="115">
        <f>IF(Premium!$C$7="FL",IF(Premium!$C$26="No",CP15,DM15),BN15)</f>
        <v>1.67</v>
      </c>
      <c r="S11" s="96">
        <f>IF(Premium!$C$7="FL",IF(Premium!$C$26="No",CQ15,DN15),BO15)</f>
        <v>1.57</v>
      </c>
      <c r="T11" s="105">
        <f>IF(Premium!$C$7="FL",IF(Premium!$C$26="No",CR15,DO15),BP15)</f>
        <v>1.57</v>
      </c>
      <c r="U11" s="102">
        <f>IF(Premium!$C$7="FL",IF(Premium!$C$26="No",CS15,DP15),BQ15)</f>
        <v>2.29</v>
      </c>
      <c r="V11" s="96">
        <f>IF(Premium!$C$7="FL",IF(Premium!$C$26="No",CT15,DQ15),BR15)</f>
        <v>2.2400000000000002</v>
      </c>
      <c r="W11" s="97">
        <f>IF(Premium!$C$7="FL",IF(Premium!$C$26="No",CU15,DR15),BS15)</f>
        <v>2.2400000000000002</v>
      </c>
      <c r="X11" s="15"/>
      <c r="Y11" s="97">
        <f>IF(Premium!$C$7="FL",IF(Premium!$C$26="No",CV15,DS15),BT15)</f>
        <v>5.35</v>
      </c>
      <c r="Z11" s="105">
        <f>IF(Premium!$C$7="FL",IF(Premium!$C$26="No",CW15,DT15),BU15)</f>
        <v>2.2799999999999998</v>
      </c>
      <c r="AA11" s="102">
        <f>BV15</f>
        <v>6.41</v>
      </c>
      <c r="AB11" s="105">
        <f t="shared" ref="AB11:AE11" si="1">BW15</f>
        <v>2.61</v>
      </c>
      <c r="AC11" s="15">
        <f t="shared" si="1"/>
        <v>1.25</v>
      </c>
      <c r="AD11" s="109">
        <f t="shared" si="1"/>
        <v>0.498</v>
      </c>
      <c r="AE11" s="110">
        <f t="shared" si="1"/>
        <v>0.16200000000000001</v>
      </c>
      <c r="AK11" s="176" t="str">
        <f>IF(OR(Premium!$C$9="Joint",Premium!$C$9="Individual Plus Additional Insured"),Projections!$K$2,"LTC Benefits")</f>
        <v>1st Insured LTC Up To Max Benefits Payable</v>
      </c>
      <c r="AL11" s="183">
        <f ca="1">IF(Premium!$D$30="Check Entry",NA(),Projections!$K$3)</f>
        <v>608608.30000000005</v>
      </c>
      <c r="AM11" s="181"/>
      <c r="AN11" s="181"/>
      <c r="AY11" s="315"/>
      <c r="AZ11" s="542"/>
      <c r="BA11" s="543"/>
      <c r="BB11" s="543"/>
      <c r="BC11" s="543"/>
      <c r="BD11" s="543"/>
      <c r="BE11" s="544"/>
      <c r="BF11" s="547"/>
      <c r="BG11" s="548"/>
      <c r="BH11" s="547"/>
      <c r="BI11" s="553"/>
      <c r="BJ11" s="554"/>
      <c r="BK11" s="554"/>
      <c r="BL11" s="554"/>
      <c r="BM11" s="554"/>
      <c r="BN11" s="554"/>
      <c r="BO11" s="554"/>
      <c r="BP11" s="554"/>
      <c r="BQ11" s="554"/>
      <c r="BR11" s="554"/>
      <c r="BS11" s="554"/>
      <c r="BT11" s="559" t="s">
        <v>280</v>
      </c>
      <c r="BU11" s="560"/>
      <c r="BV11" s="560"/>
      <c r="BW11" s="561"/>
      <c r="BX11" s="559" t="s">
        <v>281</v>
      </c>
      <c r="BY11" s="560"/>
      <c r="BZ11" s="561"/>
      <c r="CC11" s="315"/>
      <c r="CD11" s="542"/>
      <c r="CE11" s="543"/>
      <c r="CF11" s="543"/>
      <c r="CG11" s="543"/>
      <c r="CH11" s="543"/>
      <c r="CI11" s="544"/>
      <c r="CJ11" s="547"/>
      <c r="CK11" s="553"/>
      <c r="CL11" s="554"/>
      <c r="CM11" s="554"/>
      <c r="CN11" s="554"/>
      <c r="CO11" s="554"/>
      <c r="CP11" s="554"/>
      <c r="CQ11" s="554"/>
      <c r="CR11" s="554"/>
      <c r="CS11" s="554"/>
      <c r="CT11" s="554"/>
      <c r="CU11" s="554"/>
      <c r="CV11" s="559" t="s">
        <v>282</v>
      </c>
      <c r="CW11" s="561"/>
      <c r="CZ11" s="315"/>
      <c r="DA11" s="542"/>
      <c r="DB11" s="543"/>
      <c r="DC11" s="543"/>
      <c r="DD11" s="543"/>
      <c r="DE11" s="543"/>
      <c r="DF11" s="544"/>
      <c r="DG11" s="547"/>
      <c r="DH11" s="553"/>
      <c r="DI11" s="554"/>
      <c r="DJ11" s="554"/>
      <c r="DK11" s="554"/>
      <c r="DL11" s="554"/>
      <c r="DM11" s="554"/>
      <c r="DN11" s="554"/>
      <c r="DO11" s="554"/>
      <c r="DP11" s="554"/>
      <c r="DQ11" s="554"/>
      <c r="DR11" s="554"/>
      <c r="DS11" s="559" t="s">
        <v>282</v>
      </c>
      <c r="DT11" s="561"/>
    </row>
    <row r="12" spans="1:125" ht="16.5" thickBot="1">
      <c r="A12" s="59">
        <v>41</v>
      </c>
      <c r="B12" s="473">
        <f>IF(Premium!$C$7="FL",IF(Premium!$C$26="No",CD16,DA16),AZ16)</f>
        <v>33.450000000000003</v>
      </c>
      <c r="C12" s="473">
        <f>IF(Premium!$C$7="FL",IF(Premium!$C$26="No",CE16,DB16),BA16)</f>
        <v>41.49</v>
      </c>
      <c r="D12" s="473">
        <f>IF(Premium!$C$7="FL",IF(Premium!$C$26="No",CF16,DC16),BB16)</f>
        <v>52.28</v>
      </c>
      <c r="E12" s="473">
        <f>IF(Premium!$C$7="FL",IF(Premium!$C$26="No",CG16,DD16),BC16)</f>
        <v>63.19</v>
      </c>
      <c r="F12" s="473">
        <f>IF(Premium!$C$7="FL",IF(Premium!$C$26="No",CH16,DE16),BD16)</f>
        <v>52.28</v>
      </c>
      <c r="G12" s="473">
        <f>IF(Premium!$C$7="FL",IF(Premium!$C$26="No",CI16,DF16),BE16)</f>
        <v>63.19</v>
      </c>
      <c r="H12" s="15"/>
      <c r="I12" s="92">
        <f t="shared" ref="I12:I50" si="2">BF16</f>
        <v>2.79</v>
      </c>
      <c r="J12" s="93">
        <f t="shared" si="0"/>
        <v>27.88</v>
      </c>
      <c r="K12" s="60"/>
      <c r="L12" s="92">
        <f>IF(Premium!$C$7="FL",IF(Premium!$C$26="No",CJ16,DG16),BH16)</f>
        <v>1.54</v>
      </c>
      <c r="M12" s="98">
        <f>IF(Premium!$C$7="FL",IF(Premium!$C$26="No",CK16,DH16),BI16)</f>
        <v>1.44</v>
      </c>
      <c r="N12" s="106">
        <f>IF(Premium!$C$7="FL",IF(Premium!$C$26="No",CL16,DI16),BJ16)</f>
        <v>1.44</v>
      </c>
      <c r="O12" s="103">
        <f>IF(Premium!$C$7="FL",IF(Premium!$C$26="No",CM16,DJ16),BK16)</f>
        <v>2.1</v>
      </c>
      <c r="P12" s="98">
        <f>IF(Premium!$C$7="FL",IF(Premium!$C$26="No",CN16,DK16),BL16)</f>
        <v>2.06</v>
      </c>
      <c r="Q12" s="106">
        <f>IF(Premium!$C$7="FL",IF(Premium!$C$26="No",CO16,DL16),BM16)</f>
        <v>2.06</v>
      </c>
      <c r="R12" s="108">
        <f>IF(Premium!$C$7="FL",IF(Premium!$C$26="No",CP16,DM16),BN16)</f>
        <v>1.69</v>
      </c>
      <c r="S12" s="98">
        <f>IF(Premium!$C$7="FL",IF(Premium!$C$26="No",CQ16,DN16),BO16)</f>
        <v>1.58</v>
      </c>
      <c r="T12" s="106">
        <f>IF(Premium!$C$7="FL",IF(Premium!$C$26="No",CR16,DO16),BP16)</f>
        <v>1.58</v>
      </c>
      <c r="U12" s="103">
        <f>IF(Premium!$C$7="FL",IF(Premium!$C$26="No",CS16,DP16),BQ16)</f>
        <v>2.31</v>
      </c>
      <c r="V12" s="98">
        <f>IF(Premium!$C$7="FL",IF(Premium!$C$26="No",CT16,DQ16),BR16)</f>
        <v>2.27</v>
      </c>
      <c r="W12" s="99">
        <f>IF(Premium!$C$7="FL",IF(Premium!$C$26="No",CU16,DR16),BS16)</f>
        <v>2.27</v>
      </c>
      <c r="X12" s="15"/>
      <c r="Y12" s="108">
        <f>IF(Premium!$C$7="FL",IF(Premium!$C$26="No",CV16,DS16),BT16)</f>
        <v>5.25</v>
      </c>
      <c r="Z12" s="106">
        <f>IF(Premium!$C$7="FL",IF(Premium!$C$26="No",CW16,DT16),BU16)</f>
        <v>2.2599999999999998</v>
      </c>
      <c r="AA12" s="103">
        <f t="shared" ref="AA12:AE12" si="3">BV16</f>
        <v>6.25</v>
      </c>
      <c r="AB12" s="106">
        <f t="shared" si="3"/>
        <v>2.6</v>
      </c>
      <c r="AC12" s="15">
        <f t="shared" si="3"/>
        <v>1.25</v>
      </c>
      <c r="AD12" s="111">
        <f t="shared" si="3"/>
        <v>0.47699999999999998</v>
      </c>
      <c r="AE12" s="112">
        <f t="shared" si="3"/>
        <v>0.157</v>
      </c>
      <c r="AK12" s="176" t="str">
        <f>IF(OR(Premium!$C$9="Joint",Premium!$C$9="Individual Plus Additional Insured"),Projections!$L$2,"")</f>
        <v>2nd Insured LTC Up To Max Benefits Payable</v>
      </c>
      <c r="AL12" s="183">
        <f ca="1">IF(OR($AK$12="",Premium!$D$30="Check Entry"),NA(),Projections!$L$3)</f>
        <v>608608.30000000005</v>
      </c>
      <c r="AM12" s="181"/>
      <c r="AN12" s="181"/>
      <c r="AY12" s="315"/>
      <c r="AZ12" s="316" t="s">
        <v>5</v>
      </c>
      <c r="BA12" s="317"/>
      <c r="BB12" s="316" t="s">
        <v>6</v>
      </c>
      <c r="BC12" s="317"/>
      <c r="BD12" s="316" t="s">
        <v>7</v>
      </c>
      <c r="BE12" s="317"/>
      <c r="BF12" s="549"/>
      <c r="BG12" s="550"/>
      <c r="BH12" s="549"/>
      <c r="BI12" s="555"/>
      <c r="BJ12" s="555"/>
      <c r="BK12" s="555"/>
      <c r="BL12" s="555"/>
      <c r="BM12" s="555"/>
      <c r="BN12" s="555"/>
      <c r="BO12" s="555"/>
      <c r="BP12" s="555"/>
      <c r="BQ12" s="555"/>
      <c r="BR12" s="555"/>
      <c r="BS12" s="555"/>
      <c r="BT12" s="318" t="s">
        <v>8</v>
      </c>
      <c r="BU12" s="319"/>
      <c r="BV12" s="318" t="s">
        <v>3</v>
      </c>
      <c r="BW12" s="319"/>
      <c r="BX12" s="318" t="s">
        <v>283</v>
      </c>
      <c r="BY12" s="320"/>
      <c r="BZ12" s="321"/>
      <c r="CC12" s="315"/>
      <c r="CD12" s="316" t="s">
        <v>5</v>
      </c>
      <c r="CE12" s="317"/>
      <c r="CF12" s="316" t="s">
        <v>6</v>
      </c>
      <c r="CG12" s="317"/>
      <c r="CH12" s="316" t="s">
        <v>7</v>
      </c>
      <c r="CI12" s="317"/>
      <c r="CJ12" s="549"/>
      <c r="CK12" s="555"/>
      <c r="CL12" s="555"/>
      <c r="CM12" s="555"/>
      <c r="CN12" s="555"/>
      <c r="CO12" s="555"/>
      <c r="CP12" s="555"/>
      <c r="CQ12" s="555"/>
      <c r="CR12" s="555"/>
      <c r="CS12" s="555"/>
      <c r="CT12" s="555"/>
      <c r="CU12" s="555"/>
      <c r="CV12" s="318"/>
      <c r="CW12" s="319"/>
      <c r="CZ12" s="315"/>
      <c r="DA12" s="316" t="s">
        <v>5</v>
      </c>
      <c r="DB12" s="317"/>
      <c r="DC12" s="316" t="s">
        <v>6</v>
      </c>
      <c r="DD12" s="317"/>
      <c r="DE12" s="316" t="s">
        <v>7</v>
      </c>
      <c r="DF12" s="317"/>
      <c r="DG12" s="549"/>
      <c r="DH12" s="555"/>
      <c r="DI12" s="555"/>
      <c r="DJ12" s="555"/>
      <c r="DK12" s="555"/>
      <c r="DL12" s="555"/>
      <c r="DM12" s="555"/>
      <c r="DN12" s="555"/>
      <c r="DO12" s="555"/>
      <c r="DP12" s="555"/>
      <c r="DQ12" s="555"/>
      <c r="DR12" s="555"/>
      <c r="DS12" s="318"/>
      <c r="DT12" s="319"/>
    </row>
    <row r="13" spans="1:125">
      <c r="A13" s="59">
        <v>42</v>
      </c>
      <c r="B13" s="473">
        <f>IF(Premium!$C$7="FL",IF(Premium!$C$26="No",CD17,DA17),AZ17)</f>
        <v>34.29</v>
      </c>
      <c r="C13" s="473">
        <f>IF(Premium!$C$7="FL",IF(Premium!$C$26="No",CE17,DB17),BA17)</f>
        <v>42.52</v>
      </c>
      <c r="D13" s="473">
        <f>IF(Premium!$C$7="FL",IF(Premium!$C$26="No",CF17,DC17),BB17)</f>
        <v>53.62</v>
      </c>
      <c r="E13" s="473">
        <f>IF(Premium!$C$7="FL",IF(Premium!$C$26="No",CG17,DD17),BC17)</f>
        <v>64.81</v>
      </c>
      <c r="F13" s="473">
        <f>IF(Premium!$C$7="FL",IF(Premium!$C$26="No",CH17,DE17),BD17)</f>
        <v>53.62</v>
      </c>
      <c r="G13" s="473">
        <f>IF(Premium!$C$7="FL",IF(Premium!$C$26="No",CI17,DF17),BE17)</f>
        <v>64.81</v>
      </c>
      <c r="H13" s="15"/>
      <c r="I13" s="92">
        <f t="shared" si="2"/>
        <v>2.74</v>
      </c>
      <c r="J13" s="93">
        <f t="shared" si="0"/>
        <v>27.28</v>
      </c>
      <c r="K13" s="60"/>
      <c r="L13" s="92">
        <f>IF(Premium!$C$7="FL",IF(Premium!$C$26="No",CJ17,DG17),BH17)</f>
        <v>1.55</v>
      </c>
      <c r="M13" s="98">
        <f>IF(Premium!$C$7="FL",IF(Premium!$C$26="No",CK17,DH17),BI17)</f>
        <v>1.45</v>
      </c>
      <c r="N13" s="106">
        <f>IF(Premium!$C$7="FL",IF(Premium!$C$26="No",CL17,DI17),BJ17)</f>
        <v>1.45</v>
      </c>
      <c r="O13" s="103">
        <f>IF(Premium!$C$7="FL",IF(Premium!$C$26="No",CM17,DJ17),BK17)</f>
        <v>2.14</v>
      </c>
      <c r="P13" s="98">
        <f>IF(Premium!$C$7="FL",IF(Premium!$C$26="No",CN17,DK17),BL17)</f>
        <v>2.09</v>
      </c>
      <c r="Q13" s="106">
        <f>IF(Premium!$C$7="FL",IF(Premium!$C$26="No",CO17,DL17),BM17)</f>
        <v>2.09</v>
      </c>
      <c r="R13" s="108">
        <f>IF(Premium!$C$7="FL",IF(Premium!$C$26="No",CP17,DM17),BN17)</f>
        <v>1.71</v>
      </c>
      <c r="S13" s="98">
        <f>IF(Premium!$C$7="FL",IF(Premium!$C$26="No",CQ17,DN17),BO17)</f>
        <v>1.6</v>
      </c>
      <c r="T13" s="106">
        <f>IF(Premium!$C$7="FL",IF(Premium!$C$26="No",CR17,DO17),BP17)</f>
        <v>1.6</v>
      </c>
      <c r="U13" s="103">
        <f>IF(Premium!$C$7="FL",IF(Premium!$C$26="No",CS17,DP17),BQ17)</f>
        <v>2.35</v>
      </c>
      <c r="V13" s="98">
        <f>IF(Premium!$C$7="FL",IF(Premium!$C$26="No",CT17,DQ17),BR17)</f>
        <v>2.2999999999999998</v>
      </c>
      <c r="W13" s="99">
        <f>IF(Premium!$C$7="FL",IF(Premium!$C$26="No",CU17,DR17),BS17)</f>
        <v>2.2999999999999998</v>
      </c>
      <c r="X13" s="15"/>
      <c r="Y13" s="108">
        <f>IF(Premium!$C$7="FL",IF(Premium!$C$26="No",CV17,DS17),BT17)</f>
        <v>5.14</v>
      </c>
      <c r="Z13" s="106">
        <f>IF(Premium!$C$7="FL",IF(Premium!$C$26="No",CW17,DT17),BU17)</f>
        <v>2.25</v>
      </c>
      <c r="AA13" s="103">
        <f t="shared" ref="AA13:AE13" si="4">BV17</f>
        <v>6.1</v>
      </c>
      <c r="AB13" s="106">
        <f t="shared" si="4"/>
        <v>2.6</v>
      </c>
      <c r="AC13" s="15">
        <f t="shared" si="4"/>
        <v>1.25</v>
      </c>
      <c r="AD13" s="111">
        <f t="shared" si="4"/>
        <v>0.45700000000000002</v>
      </c>
      <c r="AE13" s="112">
        <f t="shared" si="4"/>
        <v>0.152</v>
      </c>
      <c r="AK13" s="176" t="str">
        <f>IF(AND(OR(Premium!$C$9="Joint",Premium!$C$9="Individual Plus Additional Insured"),Premium!$C$19="Yes"),Projections!$M$2,"")</f>
        <v>Shared LTC Up To Max Benefits Payable</v>
      </c>
      <c r="AL13" s="183">
        <f>IF($AK$13="",NA(),Projections!$M$3)</f>
        <v>705545</v>
      </c>
      <c r="AM13" s="181"/>
      <c r="AN13" s="181"/>
      <c r="AY13" s="314" t="s">
        <v>284</v>
      </c>
      <c r="AZ13" s="315" t="s">
        <v>285</v>
      </c>
      <c r="BA13" s="322" t="s">
        <v>286</v>
      </c>
      <c r="BB13" s="315" t="s">
        <v>285</v>
      </c>
      <c r="BC13" s="322" t="s">
        <v>286</v>
      </c>
      <c r="BD13" s="315" t="s">
        <v>285</v>
      </c>
      <c r="BE13" s="322" t="s">
        <v>286</v>
      </c>
      <c r="BF13" s="562" t="s">
        <v>287</v>
      </c>
      <c r="BG13" s="564" t="s">
        <v>288</v>
      </c>
      <c r="BH13" s="323" t="s">
        <v>289</v>
      </c>
      <c r="BI13" s="324"/>
      <c r="BJ13" s="325"/>
      <c r="BK13" s="326" t="s">
        <v>290</v>
      </c>
      <c r="BL13" s="324"/>
      <c r="BM13" s="325"/>
      <c r="BN13" s="326" t="s">
        <v>291</v>
      </c>
      <c r="BO13" s="324"/>
      <c r="BP13" s="325"/>
      <c r="BQ13" s="324" t="s">
        <v>292</v>
      </c>
      <c r="BR13" s="324"/>
      <c r="BS13" s="325"/>
      <c r="BT13" s="327" t="s">
        <v>9</v>
      </c>
      <c r="BU13" s="328"/>
      <c r="BV13" s="327" t="s">
        <v>9</v>
      </c>
      <c r="BW13" s="328"/>
      <c r="BX13" s="329"/>
      <c r="BY13" s="330" t="s">
        <v>10</v>
      </c>
      <c r="BZ13" s="331"/>
      <c r="CC13" s="314" t="s">
        <v>284</v>
      </c>
      <c r="CD13" s="315" t="s">
        <v>285</v>
      </c>
      <c r="CE13" s="322" t="s">
        <v>286</v>
      </c>
      <c r="CF13" s="315" t="s">
        <v>285</v>
      </c>
      <c r="CG13" s="322" t="s">
        <v>286</v>
      </c>
      <c r="CH13" s="315" t="s">
        <v>285</v>
      </c>
      <c r="CI13" s="322" t="s">
        <v>286</v>
      </c>
      <c r="CJ13" s="323" t="s">
        <v>293</v>
      </c>
      <c r="CK13" s="324"/>
      <c r="CL13" s="325"/>
      <c r="CM13" s="326" t="s">
        <v>294</v>
      </c>
      <c r="CN13" s="324"/>
      <c r="CO13" s="325"/>
      <c r="CP13" s="326" t="s">
        <v>295</v>
      </c>
      <c r="CQ13" s="324"/>
      <c r="CR13" s="325"/>
      <c r="CS13" s="324" t="s">
        <v>296</v>
      </c>
      <c r="CT13" s="324"/>
      <c r="CU13" s="325"/>
      <c r="CV13" s="327" t="s">
        <v>9</v>
      </c>
      <c r="CW13" s="328"/>
      <c r="CZ13" s="314" t="s">
        <v>284</v>
      </c>
      <c r="DA13" s="315" t="s">
        <v>285</v>
      </c>
      <c r="DB13" s="322" t="s">
        <v>286</v>
      </c>
      <c r="DC13" s="315" t="s">
        <v>285</v>
      </c>
      <c r="DD13" s="322" t="s">
        <v>286</v>
      </c>
      <c r="DE13" s="315" t="s">
        <v>285</v>
      </c>
      <c r="DF13" s="322" t="s">
        <v>286</v>
      </c>
      <c r="DG13" s="323" t="s">
        <v>293</v>
      </c>
      <c r="DH13" s="324"/>
      <c r="DI13" s="325"/>
      <c r="DJ13" s="326" t="s">
        <v>294</v>
      </c>
      <c r="DK13" s="324"/>
      <c r="DL13" s="325"/>
      <c r="DM13" s="326" t="s">
        <v>295</v>
      </c>
      <c r="DN13" s="324"/>
      <c r="DO13" s="325"/>
      <c r="DP13" s="324" t="s">
        <v>296</v>
      </c>
      <c r="DQ13" s="324"/>
      <c r="DR13" s="325"/>
      <c r="DS13" s="327" t="s">
        <v>9</v>
      </c>
      <c r="DT13" s="328"/>
    </row>
    <row r="14" spans="1:125" ht="16.5" thickBot="1">
      <c r="A14" s="59">
        <v>43</v>
      </c>
      <c r="B14" s="473">
        <f>IF(Premium!$C$7="FL",IF(Premium!$C$26="No",CD18,DA18),AZ18)</f>
        <v>35.159999999999997</v>
      </c>
      <c r="C14" s="473">
        <f>IF(Premium!$C$7="FL",IF(Premium!$C$26="No",CE18,DB18),BA18)</f>
        <v>43.58</v>
      </c>
      <c r="D14" s="473">
        <f>IF(Premium!$C$7="FL",IF(Premium!$C$26="No",CF18,DC18),BB18)</f>
        <v>55</v>
      </c>
      <c r="E14" s="473">
        <f>IF(Premium!$C$7="FL",IF(Premium!$C$26="No",CG18,DD18),BC18)</f>
        <v>66.459999999999994</v>
      </c>
      <c r="F14" s="473">
        <f>IF(Premium!$C$7="FL",IF(Premium!$C$26="No",CH18,DE18),BD18)</f>
        <v>55</v>
      </c>
      <c r="G14" s="473">
        <f>IF(Premium!$C$7="FL",IF(Premium!$C$26="No",CI18,DF18),BE18)</f>
        <v>66.459999999999994</v>
      </c>
      <c r="H14" s="15"/>
      <c r="I14" s="92">
        <f t="shared" si="2"/>
        <v>2.69</v>
      </c>
      <c r="J14" s="93">
        <f t="shared" si="0"/>
        <v>26.68</v>
      </c>
      <c r="K14" s="60"/>
      <c r="L14" s="92">
        <f>IF(Premium!$C$7="FL",IF(Premium!$C$26="No",CJ18,DG18),BH18)</f>
        <v>1.57</v>
      </c>
      <c r="M14" s="98">
        <f>IF(Premium!$C$7="FL",IF(Premium!$C$26="No",CK18,DH18),BI18)</f>
        <v>1.45</v>
      </c>
      <c r="N14" s="106">
        <f>IF(Premium!$C$7="FL",IF(Premium!$C$26="No",CL18,DI18),BJ18)</f>
        <v>1.45</v>
      </c>
      <c r="O14" s="103">
        <f>IF(Premium!$C$7="FL",IF(Premium!$C$26="No",CM18,DJ18),BK18)</f>
        <v>2.16</v>
      </c>
      <c r="P14" s="98">
        <f>IF(Premium!$C$7="FL",IF(Premium!$C$26="No",CN18,DK18),BL18)</f>
        <v>2.11</v>
      </c>
      <c r="Q14" s="106">
        <f>IF(Premium!$C$7="FL",IF(Premium!$C$26="No",CO18,DL18),BM18)</f>
        <v>2.11</v>
      </c>
      <c r="R14" s="108">
        <f>IF(Premium!$C$7="FL",IF(Premium!$C$26="No",CP18,DM18),BN18)</f>
        <v>1.73</v>
      </c>
      <c r="S14" s="98">
        <f>IF(Premium!$C$7="FL",IF(Premium!$C$26="No",CQ18,DN18),BO18)</f>
        <v>1.6</v>
      </c>
      <c r="T14" s="106">
        <f>IF(Premium!$C$7="FL",IF(Premium!$C$26="No",CR18,DO18),BP18)</f>
        <v>1.6</v>
      </c>
      <c r="U14" s="103">
        <f>IF(Premium!$C$7="FL",IF(Premium!$C$26="No",CS18,DP18),BQ18)</f>
        <v>2.38</v>
      </c>
      <c r="V14" s="98">
        <f>IF(Premium!$C$7="FL",IF(Premium!$C$26="No",CT18,DQ18),BR18)</f>
        <v>2.3199999999999998</v>
      </c>
      <c r="W14" s="99">
        <f>IF(Premium!$C$7="FL",IF(Premium!$C$26="No",CU18,DR18),BS18)</f>
        <v>2.3199999999999998</v>
      </c>
      <c r="X14" s="15"/>
      <c r="Y14" s="108">
        <f>IF(Premium!$C$7="FL",IF(Premium!$C$26="No",CV18,DS18),BT18)</f>
        <v>5.05</v>
      </c>
      <c r="Z14" s="106">
        <f>IF(Premium!$C$7="FL",IF(Premium!$C$26="No",CW18,DT18),BU18)</f>
        <v>2.23</v>
      </c>
      <c r="AA14" s="103">
        <f t="shared" ref="AA14:AE14" si="5">BV18</f>
        <v>5.95</v>
      </c>
      <c r="AB14" s="106">
        <f t="shared" si="5"/>
        <v>2.59</v>
      </c>
      <c r="AC14" s="15">
        <f t="shared" si="5"/>
        <v>1.25</v>
      </c>
      <c r="AD14" s="111">
        <f t="shared" si="5"/>
        <v>0.438</v>
      </c>
      <c r="AE14" s="112">
        <f t="shared" si="5"/>
        <v>0.14699999999999999</v>
      </c>
      <c r="AK14" s="176" t="str">
        <f>Projections!$N$2</f>
        <v>Reimbursement Up to Max Benefits Payable</v>
      </c>
      <c r="AL14" s="183">
        <f ca="1">IF(Premium!$D$30="Check Entry","",Projections!$N$3)</f>
        <v>1922761.6</v>
      </c>
      <c r="AM14" s="181"/>
      <c r="AN14" s="181"/>
      <c r="AY14" s="332" t="s">
        <v>139</v>
      </c>
      <c r="AZ14" s="332" t="s">
        <v>297</v>
      </c>
      <c r="BA14" s="333" t="s">
        <v>298</v>
      </c>
      <c r="BB14" s="332" t="s">
        <v>297</v>
      </c>
      <c r="BC14" s="333" t="s">
        <v>298</v>
      </c>
      <c r="BD14" s="332" t="s">
        <v>297</v>
      </c>
      <c r="BE14" s="333" t="s">
        <v>298</v>
      </c>
      <c r="BF14" s="563"/>
      <c r="BG14" s="565"/>
      <c r="BH14" s="332" t="s">
        <v>5</v>
      </c>
      <c r="BI14" s="334" t="s">
        <v>6</v>
      </c>
      <c r="BJ14" s="335" t="s">
        <v>7</v>
      </c>
      <c r="BK14" s="336" t="s">
        <v>5</v>
      </c>
      <c r="BL14" s="334" t="s">
        <v>6</v>
      </c>
      <c r="BM14" s="335" t="s">
        <v>7</v>
      </c>
      <c r="BN14" s="336" t="s">
        <v>5</v>
      </c>
      <c r="BO14" s="334" t="s">
        <v>6</v>
      </c>
      <c r="BP14" s="335" t="s">
        <v>7</v>
      </c>
      <c r="BQ14" s="334" t="s">
        <v>5</v>
      </c>
      <c r="BR14" s="334" t="s">
        <v>6</v>
      </c>
      <c r="BS14" s="335" t="s">
        <v>7</v>
      </c>
      <c r="BT14" s="337">
        <v>0.05</v>
      </c>
      <c r="BU14" s="338">
        <v>0.03</v>
      </c>
      <c r="BV14" s="337">
        <v>0.05</v>
      </c>
      <c r="BW14" s="338">
        <v>0.03</v>
      </c>
      <c r="BX14" s="339" t="s">
        <v>11</v>
      </c>
      <c r="BY14" s="340">
        <v>0.05</v>
      </c>
      <c r="BZ14" s="341">
        <v>0.03</v>
      </c>
      <c r="CC14" s="332" t="s">
        <v>139</v>
      </c>
      <c r="CD14" s="332" t="s">
        <v>297</v>
      </c>
      <c r="CE14" s="333" t="s">
        <v>298</v>
      </c>
      <c r="CF14" s="332" t="s">
        <v>297</v>
      </c>
      <c r="CG14" s="333" t="s">
        <v>298</v>
      </c>
      <c r="CH14" s="332" t="s">
        <v>297</v>
      </c>
      <c r="CI14" s="333" t="s">
        <v>298</v>
      </c>
      <c r="CJ14" s="332" t="s">
        <v>5</v>
      </c>
      <c r="CK14" s="334" t="s">
        <v>6</v>
      </c>
      <c r="CL14" s="335" t="s">
        <v>7</v>
      </c>
      <c r="CM14" s="336" t="s">
        <v>5</v>
      </c>
      <c r="CN14" s="334" t="s">
        <v>6</v>
      </c>
      <c r="CO14" s="335" t="s">
        <v>7</v>
      </c>
      <c r="CP14" s="336" t="s">
        <v>5</v>
      </c>
      <c r="CQ14" s="334" t="s">
        <v>6</v>
      </c>
      <c r="CR14" s="335" t="s">
        <v>7</v>
      </c>
      <c r="CS14" s="334" t="s">
        <v>5</v>
      </c>
      <c r="CT14" s="334" t="s">
        <v>6</v>
      </c>
      <c r="CU14" s="335" t="s">
        <v>7</v>
      </c>
      <c r="CV14" s="337">
        <v>0.05</v>
      </c>
      <c r="CW14" s="338">
        <v>0.03</v>
      </c>
      <c r="CZ14" s="332" t="s">
        <v>139</v>
      </c>
      <c r="DA14" s="332" t="s">
        <v>297</v>
      </c>
      <c r="DB14" s="333" t="s">
        <v>298</v>
      </c>
      <c r="DC14" s="332" t="s">
        <v>297</v>
      </c>
      <c r="DD14" s="333" t="s">
        <v>298</v>
      </c>
      <c r="DE14" s="332" t="s">
        <v>297</v>
      </c>
      <c r="DF14" s="333" t="s">
        <v>298</v>
      </c>
      <c r="DG14" s="332" t="s">
        <v>5</v>
      </c>
      <c r="DH14" s="334" t="s">
        <v>6</v>
      </c>
      <c r="DI14" s="335" t="s">
        <v>7</v>
      </c>
      <c r="DJ14" s="336" t="s">
        <v>5</v>
      </c>
      <c r="DK14" s="334" t="s">
        <v>6</v>
      </c>
      <c r="DL14" s="335" t="s">
        <v>7</v>
      </c>
      <c r="DM14" s="336" t="s">
        <v>5</v>
      </c>
      <c r="DN14" s="334" t="s">
        <v>6</v>
      </c>
      <c r="DO14" s="335" t="s">
        <v>7</v>
      </c>
      <c r="DP14" s="334" t="s">
        <v>5</v>
      </c>
      <c r="DQ14" s="334" t="s">
        <v>6</v>
      </c>
      <c r="DR14" s="335" t="s">
        <v>7</v>
      </c>
      <c r="DS14" s="337">
        <v>0.05</v>
      </c>
      <c r="DT14" s="338">
        <v>0.03</v>
      </c>
    </row>
    <row r="15" spans="1:125">
      <c r="A15" s="59">
        <v>44</v>
      </c>
      <c r="B15" s="473">
        <f>IF(Premium!$C$7="FL",IF(Premium!$C$26="No",CD19,DA19),AZ19)</f>
        <v>36.049999999999997</v>
      </c>
      <c r="C15" s="473">
        <f>IF(Premium!$C$7="FL",IF(Premium!$C$26="No",CE19,DB19),BA19)</f>
        <v>44.66</v>
      </c>
      <c r="D15" s="473">
        <f>IF(Premium!$C$7="FL",IF(Premium!$C$26="No",CF19,DC19),BB19)</f>
        <v>56.4</v>
      </c>
      <c r="E15" s="473">
        <f>IF(Premium!$C$7="FL",IF(Premium!$C$26="No",CG19,DD19),BC19)</f>
        <v>68.16</v>
      </c>
      <c r="F15" s="473">
        <f>IF(Premium!$C$7="FL",IF(Premium!$C$26="No",CH19,DE19),BD19)</f>
        <v>56.4</v>
      </c>
      <c r="G15" s="473">
        <f>IF(Premium!$C$7="FL",IF(Premium!$C$26="No",CI19,DF19),BE19)</f>
        <v>68.16</v>
      </c>
      <c r="H15" s="15"/>
      <c r="I15" s="92">
        <f t="shared" si="2"/>
        <v>2.63</v>
      </c>
      <c r="J15" s="93">
        <f t="shared" si="0"/>
        <v>26.1</v>
      </c>
      <c r="K15" s="60"/>
      <c r="L15" s="92">
        <f>IF(Premium!$C$7="FL",IF(Premium!$C$26="No",CJ19,DG19),BH19)</f>
        <v>1.58</v>
      </c>
      <c r="M15" s="98">
        <f>IF(Premium!$C$7="FL",IF(Premium!$C$26="No",CK19,DH19),BI19)</f>
        <v>1.46</v>
      </c>
      <c r="N15" s="106">
        <f>IF(Premium!$C$7="FL",IF(Premium!$C$26="No",CL19,DI19),BJ19)</f>
        <v>1.46</v>
      </c>
      <c r="O15" s="103">
        <f>IF(Premium!$C$7="FL",IF(Premium!$C$26="No",CM19,DJ19),BK19)</f>
        <v>2.2000000000000002</v>
      </c>
      <c r="P15" s="98">
        <f>IF(Premium!$C$7="FL",IF(Premium!$C$26="No",CN19,DK19),BL19)</f>
        <v>2.14</v>
      </c>
      <c r="Q15" s="106">
        <f>IF(Premium!$C$7="FL",IF(Premium!$C$26="No",CO19,DL19),BM19)</f>
        <v>2.14</v>
      </c>
      <c r="R15" s="108">
        <f>IF(Premium!$C$7="FL",IF(Premium!$C$26="No",CP19,DM19),BN19)</f>
        <v>1.74</v>
      </c>
      <c r="S15" s="98">
        <f>IF(Premium!$C$7="FL",IF(Premium!$C$26="No",CQ19,DN19),BO19)</f>
        <v>1.61</v>
      </c>
      <c r="T15" s="106">
        <f>IF(Premium!$C$7="FL",IF(Premium!$C$26="No",CR19,DO19),BP19)</f>
        <v>1.61</v>
      </c>
      <c r="U15" s="103">
        <f>IF(Premium!$C$7="FL",IF(Premium!$C$26="No",CS19,DP19),BQ19)</f>
        <v>2.42</v>
      </c>
      <c r="V15" s="98">
        <f>IF(Premium!$C$7="FL",IF(Premium!$C$26="No",CT19,DQ19),BR19)</f>
        <v>2.35</v>
      </c>
      <c r="W15" s="99">
        <f>IF(Premium!$C$7="FL",IF(Premium!$C$26="No",CU19,DR19),BS19)</f>
        <v>2.35</v>
      </c>
      <c r="X15" s="15"/>
      <c r="Y15" s="108">
        <f>IF(Premium!$C$7="FL",IF(Premium!$C$26="No",CV19,DS19),BT19)</f>
        <v>4.95</v>
      </c>
      <c r="Z15" s="106">
        <f>IF(Premium!$C$7="FL",IF(Premium!$C$26="No",CW19,DT19),BU19)</f>
        <v>2.21</v>
      </c>
      <c r="AA15" s="103">
        <f t="shared" ref="AA15:AE15" si="6">BV19</f>
        <v>5.8</v>
      </c>
      <c r="AB15" s="106">
        <f t="shared" si="6"/>
        <v>2.58</v>
      </c>
      <c r="AC15" s="15">
        <f t="shared" si="6"/>
        <v>1.25</v>
      </c>
      <c r="AD15" s="111">
        <f t="shared" si="6"/>
        <v>0.41899999999999998</v>
      </c>
      <c r="AE15" s="112">
        <f t="shared" si="6"/>
        <v>0.14199999999999999</v>
      </c>
      <c r="AK15" s="176" t="s">
        <v>141</v>
      </c>
      <c r="AL15" s="183" t="str">
        <f>IF(MID(Premium!$C$28,2,1)="R",INDEX(Projections!$O$4:$O$78,MATCH($AL$4,Projections!$B$4:$B$78,0)),"")</f>
        <v/>
      </c>
      <c r="AM15" s="181"/>
      <c r="AN15" s="181"/>
      <c r="AY15" s="342">
        <v>40</v>
      </c>
      <c r="AZ15" s="343">
        <v>32.619999999999997</v>
      </c>
      <c r="BA15" s="344">
        <v>40.49</v>
      </c>
      <c r="BB15" s="343">
        <v>50.98</v>
      </c>
      <c r="BC15" s="344">
        <v>61.62</v>
      </c>
      <c r="BD15" s="343">
        <v>50.98</v>
      </c>
      <c r="BE15" s="344">
        <v>61.62</v>
      </c>
      <c r="BF15" s="345">
        <v>2.85</v>
      </c>
      <c r="BG15" s="346">
        <v>28.5</v>
      </c>
      <c r="BH15" s="347">
        <v>1.52</v>
      </c>
      <c r="BI15" s="348">
        <v>1.43</v>
      </c>
      <c r="BJ15" s="345">
        <v>1.43</v>
      </c>
      <c r="BK15" s="349">
        <v>2.08</v>
      </c>
      <c r="BL15" s="348">
        <v>2.04</v>
      </c>
      <c r="BM15" s="345">
        <v>2.04</v>
      </c>
      <c r="BN15" s="349">
        <v>1.67</v>
      </c>
      <c r="BO15" s="348">
        <v>1.57</v>
      </c>
      <c r="BP15" s="345">
        <v>1.57</v>
      </c>
      <c r="BQ15" s="348">
        <v>2.29</v>
      </c>
      <c r="BR15" s="348">
        <v>2.2400000000000002</v>
      </c>
      <c r="BS15" s="348">
        <v>2.2400000000000002</v>
      </c>
      <c r="BT15" s="347">
        <v>5.35</v>
      </c>
      <c r="BU15" s="344">
        <v>2.2799999999999998</v>
      </c>
      <c r="BV15" s="347">
        <v>6.41</v>
      </c>
      <c r="BW15" s="344">
        <v>2.61</v>
      </c>
      <c r="BX15" s="343">
        <v>1.25</v>
      </c>
      <c r="BY15" s="350">
        <v>0.498</v>
      </c>
      <c r="BZ15" s="351">
        <v>0.16200000000000001</v>
      </c>
      <c r="CC15" s="342">
        <v>40</v>
      </c>
      <c r="CD15" s="343">
        <v>42.41</v>
      </c>
      <c r="CE15" s="344">
        <v>52.64</v>
      </c>
      <c r="CF15" s="343">
        <v>72.23</v>
      </c>
      <c r="CG15" s="344">
        <v>87.32</v>
      </c>
      <c r="CH15" s="343">
        <v>72.23</v>
      </c>
      <c r="CI15" s="344">
        <v>87.32</v>
      </c>
      <c r="CJ15" s="347">
        <v>1.52</v>
      </c>
      <c r="CK15" s="348">
        <v>1.43</v>
      </c>
      <c r="CL15" s="345">
        <v>1.43</v>
      </c>
      <c r="CM15" s="349">
        <v>2.08</v>
      </c>
      <c r="CN15" s="348">
        <v>2.04</v>
      </c>
      <c r="CO15" s="345">
        <v>2.04</v>
      </c>
      <c r="CP15" s="349">
        <v>1.67</v>
      </c>
      <c r="CQ15" s="348">
        <v>1.57</v>
      </c>
      <c r="CR15" s="345">
        <v>1.57</v>
      </c>
      <c r="CS15" s="348">
        <v>2.29</v>
      </c>
      <c r="CT15" s="348">
        <v>2.2400000000000002</v>
      </c>
      <c r="CU15" s="348">
        <v>2.2400000000000002</v>
      </c>
      <c r="CV15" s="347">
        <v>5.35</v>
      </c>
      <c r="CW15" s="344">
        <v>2.2799999999999998</v>
      </c>
      <c r="CZ15" s="342">
        <v>40</v>
      </c>
      <c r="DA15" s="343">
        <v>40.28</v>
      </c>
      <c r="DB15" s="344">
        <v>50</v>
      </c>
      <c r="DC15" s="343">
        <v>68.62</v>
      </c>
      <c r="DD15" s="344">
        <v>82.95</v>
      </c>
      <c r="DE15" s="343">
        <v>68.62</v>
      </c>
      <c r="DF15" s="344">
        <v>82.95</v>
      </c>
      <c r="DG15" s="347">
        <v>1.52</v>
      </c>
      <c r="DH15" s="348">
        <v>1.43</v>
      </c>
      <c r="DI15" s="345">
        <v>1.43</v>
      </c>
      <c r="DJ15" s="349">
        <v>2.08</v>
      </c>
      <c r="DK15" s="348">
        <v>2.04</v>
      </c>
      <c r="DL15" s="345">
        <v>2.04</v>
      </c>
      <c r="DM15" s="349">
        <v>1.67</v>
      </c>
      <c r="DN15" s="348">
        <v>1.57</v>
      </c>
      <c r="DO15" s="345">
        <v>1.57</v>
      </c>
      <c r="DP15" s="348">
        <v>2.29</v>
      </c>
      <c r="DQ15" s="348">
        <v>2.2400000000000002</v>
      </c>
      <c r="DR15" s="348">
        <v>2.2400000000000002</v>
      </c>
      <c r="DS15" s="347">
        <v>5.35</v>
      </c>
      <c r="DT15" s="344">
        <v>2.2799999999999998</v>
      </c>
    </row>
    <row r="16" spans="1:125">
      <c r="A16" s="59">
        <v>45</v>
      </c>
      <c r="B16" s="473">
        <f>IF(Premium!$C$7="FL",IF(Premium!$C$26="No",CD20,DA20),AZ20)</f>
        <v>36.96</v>
      </c>
      <c r="C16" s="473">
        <f>IF(Premium!$C$7="FL",IF(Premium!$C$26="No",CE20,DB20),BA20)</f>
        <v>45.77</v>
      </c>
      <c r="D16" s="473">
        <f>IF(Premium!$C$7="FL",IF(Premium!$C$26="No",CF20,DC20),BB20)</f>
        <v>57.85</v>
      </c>
      <c r="E16" s="473">
        <f>IF(Premium!$C$7="FL",IF(Premium!$C$26="No",CG20,DD20),BC20)</f>
        <v>69.900000000000006</v>
      </c>
      <c r="F16" s="473">
        <f>IF(Premium!$C$7="FL",IF(Premium!$C$26="No",CH20,DE20),BD20)</f>
        <v>57.85</v>
      </c>
      <c r="G16" s="473">
        <f>IF(Premium!$C$7="FL",IF(Premium!$C$26="No",CI20,DF20),BE20)</f>
        <v>69.900000000000006</v>
      </c>
      <c r="H16" s="15"/>
      <c r="I16" s="92">
        <f t="shared" si="2"/>
        <v>2.58</v>
      </c>
      <c r="J16" s="93">
        <f t="shared" si="0"/>
        <v>25.54</v>
      </c>
      <c r="K16" s="60"/>
      <c r="L16" s="92">
        <f>IF(Premium!$C$7="FL",IF(Premium!$C$26="No",CJ20,DG20),BH20)</f>
        <v>1.6</v>
      </c>
      <c r="M16" s="98">
        <f>IF(Premium!$C$7="FL",IF(Premium!$C$26="No",CK20,DH20),BI20)</f>
        <v>1.48</v>
      </c>
      <c r="N16" s="106">
        <f>IF(Premium!$C$7="FL",IF(Premium!$C$26="No",CL20,DI20),BJ20)</f>
        <v>1.48</v>
      </c>
      <c r="O16" s="103">
        <f>IF(Premium!$C$7="FL",IF(Premium!$C$26="No",CM20,DJ20),BK20)</f>
        <v>2.2200000000000002</v>
      </c>
      <c r="P16" s="98">
        <f>IF(Premium!$C$7="FL",IF(Premium!$C$26="No",CN20,DK20),BL20)</f>
        <v>2.16</v>
      </c>
      <c r="Q16" s="106">
        <f>IF(Premium!$C$7="FL",IF(Premium!$C$26="No",CO20,DL20),BM20)</f>
        <v>2.16</v>
      </c>
      <c r="R16" s="108">
        <f>IF(Premium!$C$7="FL",IF(Premium!$C$26="No",CP20,DM20),BN20)</f>
        <v>1.76</v>
      </c>
      <c r="S16" s="98">
        <f>IF(Premium!$C$7="FL",IF(Premium!$C$26="No",CQ20,DN20),BO20)</f>
        <v>1.63</v>
      </c>
      <c r="T16" s="106">
        <f>IF(Premium!$C$7="FL",IF(Premium!$C$26="No",CR20,DO20),BP20)</f>
        <v>1.63</v>
      </c>
      <c r="U16" s="103">
        <f>IF(Premium!$C$7="FL",IF(Premium!$C$26="No",CS20,DP20),BQ20)</f>
        <v>2.44</v>
      </c>
      <c r="V16" s="98">
        <f>IF(Premium!$C$7="FL",IF(Premium!$C$26="No",CT20,DQ20),BR20)</f>
        <v>2.38</v>
      </c>
      <c r="W16" s="99">
        <f>IF(Premium!$C$7="FL",IF(Premium!$C$26="No",CU20,DR20),BS20)</f>
        <v>2.38</v>
      </c>
      <c r="X16" s="15"/>
      <c r="Y16" s="108">
        <f>IF(Premium!$C$7="FL",IF(Premium!$C$26="No",CV20,DS20),BT20)</f>
        <v>4.8499999999999996</v>
      </c>
      <c r="Z16" s="106">
        <f>IF(Premium!$C$7="FL",IF(Premium!$C$26="No",CW20,DT20),BU20)</f>
        <v>2.2000000000000002</v>
      </c>
      <c r="AA16" s="103">
        <f t="shared" ref="AA16:AE16" si="7">BV20</f>
        <v>5.66</v>
      </c>
      <c r="AB16" s="106">
        <f t="shared" si="7"/>
        <v>2.57</v>
      </c>
      <c r="AC16" s="15">
        <f t="shared" si="7"/>
        <v>1.25</v>
      </c>
      <c r="AD16" s="111">
        <f t="shared" si="7"/>
        <v>0.40200000000000002</v>
      </c>
      <c r="AE16" s="112">
        <f t="shared" si="7"/>
        <v>0.13700000000000001</v>
      </c>
      <c r="AK16" s="176" t="s">
        <v>201</v>
      </c>
      <c r="AL16" s="183" t="str">
        <f>IF(RIGHT(Premium!$C$28,1)="S",INDEX(Projections!$P$4:$P$78,MATCH($AL$4,Projections!$B$4:$B$78,0)),"")</f>
        <v/>
      </c>
      <c r="AM16" s="181"/>
      <c r="AN16" s="181"/>
      <c r="AY16" s="342">
        <v>41</v>
      </c>
      <c r="AZ16" s="343">
        <v>33.450000000000003</v>
      </c>
      <c r="BA16" s="344">
        <v>41.49</v>
      </c>
      <c r="BB16" s="343">
        <v>52.28</v>
      </c>
      <c r="BC16" s="344">
        <v>63.19</v>
      </c>
      <c r="BD16" s="343">
        <v>52.28</v>
      </c>
      <c r="BE16" s="344">
        <v>63.19</v>
      </c>
      <c r="BF16" s="345">
        <v>2.79</v>
      </c>
      <c r="BG16" s="346">
        <v>27.88</v>
      </c>
      <c r="BH16" s="347">
        <v>1.54</v>
      </c>
      <c r="BI16" s="348">
        <v>1.44</v>
      </c>
      <c r="BJ16" s="345">
        <v>1.44</v>
      </c>
      <c r="BK16" s="349">
        <v>2.1</v>
      </c>
      <c r="BL16" s="348">
        <v>2.06</v>
      </c>
      <c r="BM16" s="345">
        <v>2.06</v>
      </c>
      <c r="BN16" s="349">
        <v>1.69</v>
      </c>
      <c r="BO16" s="348">
        <v>1.58</v>
      </c>
      <c r="BP16" s="345">
        <v>1.58</v>
      </c>
      <c r="BQ16" s="348">
        <v>2.31</v>
      </c>
      <c r="BR16" s="348">
        <v>2.27</v>
      </c>
      <c r="BS16" s="348">
        <v>2.27</v>
      </c>
      <c r="BT16" s="347">
        <v>5.25</v>
      </c>
      <c r="BU16" s="344">
        <v>2.2599999999999998</v>
      </c>
      <c r="BV16" s="347">
        <v>6.25</v>
      </c>
      <c r="BW16" s="344">
        <v>2.6</v>
      </c>
      <c r="BX16" s="343">
        <v>1.25</v>
      </c>
      <c r="BY16" s="350">
        <v>0.47699999999999998</v>
      </c>
      <c r="BZ16" s="351">
        <v>0.157</v>
      </c>
      <c r="CC16" s="342">
        <v>41</v>
      </c>
      <c r="CD16" s="343">
        <v>43.49</v>
      </c>
      <c r="CE16" s="344">
        <v>53.94</v>
      </c>
      <c r="CF16" s="343">
        <v>74.08</v>
      </c>
      <c r="CG16" s="344">
        <v>89.54</v>
      </c>
      <c r="CH16" s="343">
        <v>74.08</v>
      </c>
      <c r="CI16" s="344">
        <v>89.54</v>
      </c>
      <c r="CJ16" s="347">
        <v>1.54</v>
      </c>
      <c r="CK16" s="348">
        <v>1.44</v>
      </c>
      <c r="CL16" s="345">
        <v>1.44</v>
      </c>
      <c r="CM16" s="349">
        <v>2.1</v>
      </c>
      <c r="CN16" s="348">
        <v>2.06</v>
      </c>
      <c r="CO16" s="345">
        <v>2.06</v>
      </c>
      <c r="CP16" s="349">
        <v>1.69</v>
      </c>
      <c r="CQ16" s="348">
        <v>1.58</v>
      </c>
      <c r="CR16" s="345">
        <v>1.58</v>
      </c>
      <c r="CS16" s="348">
        <v>2.31</v>
      </c>
      <c r="CT16" s="348">
        <v>2.27</v>
      </c>
      <c r="CU16" s="348">
        <v>2.27</v>
      </c>
      <c r="CV16" s="347">
        <v>5.25</v>
      </c>
      <c r="CW16" s="344">
        <v>2.2599999999999998</v>
      </c>
      <c r="CZ16" s="342">
        <v>41</v>
      </c>
      <c r="DA16" s="343">
        <v>41.31</v>
      </c>
      <c r="DB16" s="344">
        <v>51.24</v>
      </c>
      <c r="DC16" s="343">
        <v>70.37</v>
      </c>
      <c r="DD16" s="344">
        <v>85.06</v>
      </c>
      <c r="DE16" s="343">
        <v>70.37</v>
      </c>
      <c r="DF16" s="344">
        <v>85.06</v>
      </c>
      <c r="DG16" s="347">
        <v>1.54</v>
      </c>
      <c r="DH16" s="348">
        <v>1.44</v>
      </c>
      <c r="DI16" s="345">
        <v>1.44</v>
      </c>
      <c r="DJ16" s="349">
        <v>2.1</v>
      </c>
      <c r="DK16" s="348">
        <v>2.06</v>
      </c>
      <c r="DL16" s="345">
        <v>2.06</v>
      </c>
      <c r="DM16" s="349">
        <v>1.69</v>
      </c>
      <c r="DN16" s="348">
        <v>1.58</v>
      </c>
      <c r="DO16" s="345">
        <v>1.58</v>
      </c>
      <c r="DP16" s="348">
        <v>2.31</v>
      </c>
      <c r="DQ16" s="348">
        <v>2.27</v>
      </c>
      <c r="DR16" s="348">
        <v>2.27</v>
      </c>
      <c r="DS16" s="347">
        <v>5.25</v>
      </c>
      <c r="DT16" s="344">
        <v>2.2599999999999998</v>
      </c>
    </row>
    <row r="17" spans="1:124">
      <c r="A17" s="59">
        <v>46</v>
      </c>
      <c r="B17" s="473">
        <f>IF(Premium!$C$7="FL",IF(Premium!$C$26="No",CD21,DA21),AZ21)</f>
        <v>37.9</v>
      </c>
      <c r="C17" s="473">
        <f>IF(Premium!$C$7="FL",IF(Premium!$C$26="No",CE21,DB21),BA21)</f>
        <v>46.9</v>
      </c>
      <c r="D17" s="473">
        <f>IF(Premium!$C$7="FL",IF(Premium!$C$26="No",CF21,DC21),BB21)</f>
        <v>59.33</v>
      </c>
      <c r="E17" s="473">
        <f>IF(Premium!$C$7="FL",IF(Premium!$C$26="No",CG21,DD21),BC21)</f>
        <v>71.680000000000007</v>
      </c>
      <c r="F17" s="473">
        <f>IF(Premium!$C$7="FL",IF(Premium!$C$26="No",CH21,DE21),BD21)</f>
        <v>59.33</v>
      </c>
      <c r="G17" s="473">
        <f>IF(Premium!$C$7="FL",IF(Premium!$C$26="No",CI21,DF21),BE21)</f>
        <v>71.680000000000007</v>
      </c>
      <c r="H17" s="15"/>
      <c r="I17" s="92">
        <f t="shared" si="2"/>
        <v>2.5299999999999998</v>
      </c>
      <c r="J17" s="93">
        <f t="shared" si="0"/>
        <v>24.98</v>
      </c>
      <c r="K17" s="60"/>
      <c r="L17" s="92">
        <f>IF(Premium!$C$7="FL",IF(Premium!$C$26="No",CJ21,DG21),BH21)</f>
        <v>1.62</v>
      </c>
      <c r="M17" s="98">
        <f>IF(Premium!$C$7="FL",IF(Premium!$C$26="No",CK21,DH21),BI21)</f>
        <v>1.49</v>
      </c>
      <c r="N17" s="106">
        <f>IF(Premium!$C$7="FL",IF(Premium!$C$26="No",CL21,DI21),BJ21)</f>
        <v>1.49</v>
      </c>
      <c r="O17" s="103">
        <f>IF(Premium!$C$7="FL",IF(Premium!$C$26="No",CM21,DJ21),BK21)</f>
        <v>2.2599999999999998</v>
      </c>
      <c r="P17" s="98">
        <f>IF(Premium!$C$7="FL",IF(Premium!$C$26="No",CN21,DK21),BL21)</f>
        <v>2.1800000000000002</v>
      </c>
      <c r="Q17" s="106">
        <f>IF(Premium!$C$7="FL",IF(Premium!$C$26="No",CO21,DL21),BM21)</f>
        <v>2.1800000000000002</v>
      </c>
      <c r="R17" s="108">
        <f>IF(Premium!$C$7="FL",IF(Premium!$C$26="No",CP21,DM21),BN21)</f>
        <v>1.78</v>
      </c>
      <c r="S17" s="98">
        <f>IF(Premium!$C$7="FL",IF(Premium!$C$26="No",CQ21,DN21),BO21)</f>
        <v>1.64</v>
      </c>
      <c r="T17" s="106">
        <f>IF(Premium!$C$7="FL",IF(Premium!$C$26="No",CR21,DO21),BP21)</f>
        <v>1.64</v>
      </c>
      <c r="U17" s="103">
        <f>IF(Premium!$C$7="FL",IF(Premium!$C$26="No",CS21,DP21),BQ21)</f>
        <v>2.4900000000000002</v>
      </c>
      <c r="V17" s="98">
        <f>IF(Premium!$C$7="FL",IF(Premium!$C$26="No",CT21,DQ21),BR21)</f>
        <v>2.4</v>
      </c>
      <c r="W17" s="99">
        <f>IF(Premium!$C$7="FL",IF(Premium!$C$26="No",CU21,DR21),BS21)</f>
        <v>2.4</v>
      </c>
      <c r="X17" s="15"/>
      <c r="Y17" s="108">
        <f>IF(Premium!$C$7="FL",IF(Premium!$C$26="No",CV21,DS21),BT21)</f>
        <v>4.76</v>
      </c>
      <c r="Z17" s="106">
        <f>IF(Premium!$C$7="FL",IF(Premium!$C$26="No",CW21,DT21),BU21)</f>
        <v>2.1800000000000002</v>
      </c>
      <c r="AA17" s="103">
        <f t="shared" ref="AA17:AE17" si="8">BV21</f>
        <v>5.52</v>
      </c>
      <c r="AB17" s="106">
        <f t="shared" si="8"/>
        <v>2.57</v>
      </c>
      <c r="AC17" s="15">
        <f t="shared" si="8"/>
        <v>1.25</v>
      </c>
      <c r="AD17" s="111">
        <f t="shared" si="8"/>
        <v>0.38500000000000001</v>
      </c>
      <c r="AE17" s="112">
        <f t="shared" si="8"/>
        <v>0.13300000000000001</v>
      </c>
      <c r="AK17" s="176" t="s">
        <v>142</v>
      </c>
      <c r="AL17" s="183">
        <f ca="1">$AL$14-$AL$10</f>
        <v>1841688.6</v>
      </c>
      <c r="AM17" s="181"/>
      <c r="AN17" s="181"/>
      <c r="AY17" s="342">
        <v>42</v>
      </c>
      <c r="AZ17" s="343">
        <v>34.29</v>
      </c>
      <c r="BA17" s="345">
        <v>42.52</v>
      </c>
      <c r="BB17" s="343">
        <v>53.62</v>
      </c>
      <c r="BC17" s="344">
        <v>64.81</v>
      </c>
      <c r="BD17" s="343">
        <v>53.62</v>
      </c>
      <c r="BE17" s="344">
        <v>64.81</v>
      </c>
      <c r="BF17" s="345">
        <v>2.74</v>
      </c>
      <c r="BG17" s="346">
        <v>27.28</v>
      </c>
      <c r="BH17" s="347">
        <v>1.55</v>
      </c>
      <c r="BI17" s="348">
        <v>1.45</v>
      </c>
      <c r="BJ17" s="345">
        <v>1.45</v>
      </c>
      <c r="BK17" s="349">
        <v>2.14</v>
      </c>
      <c r="BL17" s="348">
        <v>2.09</v>
      </c>
      <c r="BM17" s="345">
        <v>2.09</v>
      </c>
      <c r="BN17" s="349">
        <v>1.71</v>
      </c>
      <c r="BO17" s="348">
        <v>1.6</v>
      </c>
      <c r="BP17" s="345">
        <v>1.6</v>
      </c>
      <c r="BQ17" s="348">
        <v>2.35</v>
      </c>
      <c r="BR17" s="348">
        <v>2.2999999999999998</v>
      </c>
      <c r="BS17" s="348">
        <v>2.2999999999999998</v>
      </c>
      <c r="BT17" s="347">
        <v>5.14</v>
      </c>
      <c r="BU17" s="344">
        <v>2.25</v>
      </c>
      <c r="BV17" s="347">
        <v>6.1</v>
      </c>
      <c r="BW17" s="344">
        <v>2.6</v>
      </c>
      <c r="BX17" s="343">
        <v>1.25</v>
      </c>
      <c r="BY17" s="350">
        <v>0.45700000000000002</v>
      </c>
      <c r="BZ17" s="351">
        <v>0.152</v>
      </c>
      <c r="CC17" s="342">
        <v>42</v>
      </c>
      <c r="CD17" s="343">
        <v>44.58</v>
      </c>
      <c r="CE17" s="345">
        <v>55.28</v>
      </c>
      <c r="CF17" s="343">
        <v>75.98</v>
      </c>
      <c r="CG17" s="344">
        <v>91.83</v>
      </c>
      <c r="CH17" s="343">
        <v>75.98</v>
      </c>
      <c r="CI17" s="344">
        <v>91.83</v>
      </c>
      <c r="CJ17" s="347">
        <v>1.55</v>
      </c>
      <c r="CK17" s="348">
        <v>1.45</v>
      </c>
      <c r="CL17" s="345">
        <v>1.45</v>
      </c>
      <c r="CM17" s="349">
        <v>2.14</v>
      </c>
      <c r="CN17" s="348">
        <v>2.09</v>
      </c>
      <c r="CO17" s="345">
        <v>2.09</v>
      </c>
      <c r="CP17" s="349">
        <v>1.71</v>
      </c>
      <c r="CQ17" s="348">
        <v>1.6</v>
      </c>
      <c r="CR17" s="345">
        <v>1.6</v>
      </c>
      <c r="CS17" s="348">
        <v>2.35</v>
      </c>
      <c r="CT17" s="348">
        <v>2.2999999999999998</v>
      </c>
      <c r="CU17" s="348">
        <v>2.2999999999999998</v>
      </c>
      <c r="CV17" s="347">
        <v>5.14</v>
      </c>
      <c r="CW17" s="344">
        <v>2.25</v>
      </c>
      <c r="CZ17" s="342">
        <v>42</v>
      </c>
      <c r="DA17" s="343">
        <v>42.35</v>
      </c>
      <c r="DB17" s="345">
        <v>52.51</v>
      </c>
      <c r="DC17" s="343">
        <v>72.180000000000007</v>
      </c>
      <c r="DD17" s="344">
        <v>87.23</v>
      </c>
      <c r="DE17" s="343">
        <v>72.180000000000007</v>
      </c>
      <c r="DF17" s="344">
        <v>87.23</v>
      </c>
      <c r="DG17" s="347">
        <v>1.55</v>
      </c>
      <c r="DH17" s="348">
        <v>1.45</v>
      </c>
      <c r="DI17" s="345">
        <v>1.45</v>
      </c>
      <c r="DJ17" s="349">
        <v>2.14</v>
      </c>
      <c r="DK17" s="348">
        <v>2.09</v>
      </c>
      <c r="DL17" s="345">
        <v>2.09</v>
      </c>
      <c r="DM17" s="349">
        <v>1.71</v>
      </c>
      <c r="DN17" s="348">
        <v>1.6</v>
      </c>
      <c r="DO17" s="345">
        <v>1.6</v>
      </c>
      <c r="DP17" s="348">
        <v>2.35</v>
      </c>
      <c r="DQ17" s="348">
        <v>2.2999999999999998</v>
      </c>
      <c r="DR17" s="348">
        <v>2.2999999999999998</v>
      </c>
      <c r="DS17" s="347">
        <v>5.14</v>
      </c>
      <c r="DT17" s="344">
        <v>2.25</v>
      </c>
    </row>
    <row r="18" spans="1:124">
      <c r="A18" s="59">
        <v>47</v>
      </c>
      <c r="B18" s="473">
        <f>IF(Premium!$C$7="FL",IF(Premium!$C$26="No",CD22,DA22),AZ22)</f>
        <v>38.86</v>
      </c>
      <c r="C18" s="473">
        <f>IF(Premium!$C$7="FL",IF(Premium!$C$26="No",CE22,DB22),BA22)</f>
        <v>48.06</v>
      </c>
      <c r="D18" s="473">
        <f>IF(Premium!$C$7="FL",IF(Premium!$C$26="No",CF22,DC22),BB22)</f>
        <v>60.85</v>
      </c>
      <c r="E18" s="473">
        <f>IF(Premium!$C$7="FL",IF(Premium!$C$26="No",CG22,DD22),BC22)</f>
        <v>73.510000000000005</v>
      </c>
      <c r="F18" s="473">
        <f>IF(Premium!$C$7="FL",IF(Premium!$C$26="No",CH22,DE22),BD22)</f>
        <v>60.85</v>
      </c>
      <c r="G18" s="473">
        <f>IF(Premium!$C$7="FL",IF(Premium!$C$26="No",CI22,DF22),BE22)</f>
        <v>73.510000000000005</v>
      </c>
      <c r="H18" s="15"/>
      <c r="I18" s="92">
        <f t="shared" si="2"/>
        <v>2.48</v>
      </c>
      <c r="J18" s="93">
        <f t="shared" si="0"/>
        <v>24.44</v>
      </c>
      <c r="K18" s="60"/>
      <c r="L18" s="92">
        <f>IF(Premium!$C$7="FL",IF(Premium!$C$26="No",CJ22,DG22),BH22)</f>
        <v>1.63</v>
      </c>
      <c r="M18" s="98">
        <f>IF(Premium!$C$7="FL",IF(Premium!$C$26="No",CK22,DH22),BI22)</f>
        <v>1.5</v>
      </c>
      <c r="N18" s="106">
        <f>IF(Premium!$C$7="FL",IF(Premium!$C$26="No",CL22,DI22),BJ22)</f>
        <v>1.5</v>
      </c>
      <c r="O18" s="103">
        <f>IF(Premium!$C$7="FL",IF(Premium!$C$26="No",CM22,DJ22),BK22)</f>
        <v>2.2799999999999998</v>
      </c>
      <c r="P18" s="98">
        <f>IF(Premium!$C$7="FL",IF(Premium!$C$26="No",CN22,DK22),BL22)</f>
        <v>2.21</v>
      </c>
      <c r="Q18" s="106">
        <f>IF(Premium!$C$7="FL",IF(Premium!$C$26="No",CO22,DL22),BM22)</f>
        <v>2.21</v>
      </c>
      <c r="R18" s="108">
        <f>IF(Premium!$C$7="FL",IF(Premium!$C$26="No",CP22,DM22),BN22)</f>
        <v>1.79</v>
      </c>
      <c r="S18" s="98">
        <f>IF(Premium!$C$7="FL",IF(Premium!$C$26="No",CQ22,DN22),BO22)</f>
        <v>1.65</v>
      </c>
      <c r="T18" s="106">
        <f>IF(Premium!$C$7="FL",IF(Premium!$C$26="No",CR22,DO22),BP22)</f>
        <v>1.65</v>
      </c>
      <c r="U18" s="103">
        <f>IF(Premium!$C$7="FL",IF(Premium!$C$26="No",CS22,DP22),BQ22)</f>
        <v>2.5099999999999998</v>
      </c>
      <c r="V18" s="98">
        <f>IF(Premium!$C$7="FL",IF(Premium!$C$26="No",CT22,DQ22),BR22)</f>
        <v>2.4300000000000002</v>
      </c>
      <c r="W18" s="99">
        <f>IF(Premium!$C$7="FL",IF(Premium!$C$26="No",CU22,DR22),BS22)</f>
        <v>2.4300000000000002</v>
      </c>
      <c r="X18" s="15"/>
      <c r="Y18" s="108">
        <f>IF(Premium!$C$7="FL",IF(Premium!$C$26="No",CV22,DS22),BT22)</f>
        <v>4.67</v>
      </c>
      <c r="Z18" s="106">
        <f>IF(Premium!$C$7="FL",IF(Premium!$C$26="No",CW22,DT22),BU22)</f>
        <v>2.17</v>
      </c>
      <c r="AA18" s="103">
        <f t="shared" ref="AA18:AE18" si="9">BV22</f>
        <v>5.39</v>
      </c>
      <c r="AB18" s="106">
        <f t="shared" si="9"/>
        <v>2.56</v>
      </c>
      <c r="AC18" s="15">
        <f t="shared" si="9"/>
        <v>1.25</v>
      </c>
      <c r="AD18" s="111">
        <f t="shared" si="9"/>
        <v>0.36899999999999999</v>
      </c>
      <c r="AE18" s="112">
        <f t="shared" si="9"/>
        <v>0.128</v>
      </c>
      <c r="AK18" s="176" t="s">
        <v>146</v>
      </c>
      <c r="AL18" s="183">
        <f ca="1">NPV($AL$3,Projections!E4:E78)*(1+$AL$3)</f>
        <v>50250.596702781382</v>
      </c>
      <c r="AM18" s="181"/>
      <c r="AN18" s="181"/>
      <c r="AY18" s="342">
        <v>43</v>
      </c>
      <c r="AZ18" s="343">
        <v>35.159999999999997</v>
      </c>
      <c r="BA18" s="345">
        <v>43.58</v>
      </c>
      <c r="BB18" s="343">
        <v>55</v>
      </c>
      <c r="BC18" s="344">
        <v>66.459999999999994</v>
      </c>
      <c r="BD18" s="343">
        <v>55</v>
      </c>
      <c r="BE18" s="344">
        <v>66.459999999999994</v>
      </c>
      <c r="BF18" s="345">
        <v>2.69</v>
      </c>
      <c r="BG18" s="346">
        <v>26.68</v>
      </c>
      <c r="BH18" s="347">
        <v>1.57</v>
      </c>
      <c r="BI18" s="348">
        <v>1.45</v>
      </c>
      <c r="BJ18" s="345">
        <v>1.45</v>
      </c>
      <c r="BK18" s="349">
        <v>2.16</v>
      </c>
      <c r="BL18" s="348">
        <v>2.11</v>
      </c>
      <c r="BM18" s="345">
        <v>2.11</v>
      </c>
      <c r="BN18" s="349">
        <v>1.73</v>
      </c>
      <c r="BO18" s="348">
        <v>1.6</v>
      </c>
      <c r="BP18" s="345">
        <v>1.6</v>
      </c>
      <c r="BQ18" s="348">
        <v>2.38</v>
      </c>
      <c r="BR18" s="348">
        <v>2.3199999999999998</v>
      </c>
      <c r="BS18" s="348">
        <v>2.3199999999999998</v>
      </c>
      <c r="BT18" s="347">
        <v>5.05</v>
      </c>
      <c r="BU18" s="344">
        <v>2.23</v>
      </c>
      <c r="BV18" s="347">
        <v>5.95</v>
      </c>
      <c r="BW18" s="344">
        <v>2.59</v>
      </c>
      <c r="BX18" s="343">
        <v>1.25</v>
      </c>
      <c r="BY18" s="350">
        <v>0.438</v>
      </c>
      <c r="BZ18" s="351">
        <v>0.14699999999999999</v>
      </c>
      <c r="CC18" s="342">
        <v>43</v>
      </c>
      <c r="CD18" s="343">
        <v>45.71</v>
      </c>
      <c r="CE18" s="345">
        <v>56.65</v>
      </c>
      <c r="CF18" s="343">
        <v>77.94</v>
      </c>
      <c r="CG18" s="344">
        <v>94.18</v>
      </c>
      <c r="CH18" s="343">
        <v>77.94</v>
      </c>
      <c r="CI18" s="344">
        <v>94.18</v>
      </c>
      <c r="CJ18" s="347">
        <v>1.57</v>
      </c>
      <c r="CK18" s="348">
        <v>1.45</v>
      </c>
      <c r="CL18" s="345">
        <v>1.45</v>
      </c>
      <c r="CM18" s="349">
        <v>2.16</v>
      </c>
      <c r="CN18" s="348">
        <v>2.11</v>
      </c>
      <c r="CO18" s="345">
        <v>2.11</v>
      </c>
      <c r="CP18" s="349">
        <v>1.73</v>
      </c>
      <c r="CQ18" s="348">
        <v>1.6</v>
      </c>
      <c r="CR18" s="345">
        <v>1.6</v>
      </c>
      <c r="CS18" s="348">
        <v>2.38</v>
      </c>
      <c r="CT18" s="348">
        <v>2.3199999999999998</v>
      </c>
      <c r="CU18" s="348">
        <v>2.3199999999999998</v>
      </c>
      <c r="CV18" s="347">
        <v>5.05</v>
      </c>
      <c r="CW18" s="344">
        <v>2.23</v>
      </c>
      <c r="CZ18" s="342">
        <v>43</v>
      </c>
      <c r="DA18" s="343">
        <v>43.42</v>
      </c>
      <c r="DB18" s="345">
        <v>53.81</v>
      </c>
      <c r="DC18" s="343">
        <v>74.03</v>
      </c>
      <c r="DD18" s="344">
        <v>89.47</v>
      </c>
      <c r="DE18" s="343">
        <v>74.03</v>
      </c>
      <c r="DF18" s="344">
        <v>89.47</v>
      </c>
      <c r="DG18" s="347">
        <v>1.57</v>
      </c>
      <c r="DH18" s="348">
        <v>1.45</v>
      </c>
      <c r="DI18" s="345">
        <v>1.45</v>
      </c>
      <c r="DJ18" s="349">
        <v>2.16</v>
      </c>
      <c r="DK18" s="348">
        <v>2.11</v>
      </c>
      <c r="DL18" s="345">
        <v>2.11</v>
      </c>
      <c r="DM18" s="349">
        <v>1.73</v>
      </c>
      <c r="DN18" s="348">
        <v>1.6</v>
      </c>
      <c r="DO18" s="345">
        <v>1.6</v>
      </c>
      <c r="DP18" s="348">
        <v>2.38</v>
      </c>
      <c r="DQ18" s="348">
        <v>2.3199999999999998</v>
      </c>
      <c r="DR18" s="348">
        <v>2.3199999999999998</v>
      </c>
      <c r="DS18" s="347">
        <v>5.05</v>
      </c>
      <c r="DT18" s="344">
        <v>2.23</v>
      </c>
    </row>
    <row r="19" spans="1:124">
      <c r="A19" s="59">
        <v>48</v>
      </c>
      <c r="B19" s="473">
        <f>IF(Premium!$C$7="FL",IF(Premium!$C$26="No",CD23,DA23),AZ23)</f>
        <v>39.840000000000003</v>
      </c>
      <c r="C19" s="473">
        <f>IF(Premium!$C$7="FL",IF(Premium!$C$26="No",CE23,DB23),BA23)</f>
        <v>49.26</v>
      </c>
      <c r="D19" s="473">
        <f>IF(Premium!$C$7="FL",IF(Premium!$C$26="No",CF23,DC23),BB23)</f>
        <v>62.4</v>
      </c>
      <c r="E19" s="473">
        <f>IF(Premium!$C$7="FL",IF(Premium!$C$26="No",CG23,DD23),BC23)</f>
        <v>75.39</v>
      </c>
      <c r="F19" s="473">
        <f>IF(Premium!$C$7="FL",IF(Premium!$C$26="No",CH23,DE23),BD23)</f>
        <v>62.4</v>
      </c>
      <c r="G19" s="473">
        <f>IF(Premium!$C$7="FL",IF(Premium!$C$26="No",CI23,DF23),BE23)</f>
        <v>75.39</v>
      </c>
      <c r="H19" s="15"/>
      <c r="I19" s="92">
        <f t="shared" si="2"/>
        <v>2.4300000000000002</v>
      </c>
      <c r="J19" s="93">
        <f t="shared" si="0"/>
        <v>23.91</v>
      </c>
      <c r="K19" s="60"/>
      <c r="L19" s="92">
        <f>IF(Premium!$C$7="FL",IF(Premium!$C$26="No",CJ23,DG23),BH23)</f>
        <v>1.64</v>
      </c>
      <c r="M19" s="98">
        <f>IF(Premium!$C$7="FL",IF(Premium!$C$26="No",CK23,DH23),BI23)</f>
        <v>1.5</v>
      </c>
      <c r="N19" s="106">
        <f>IF(Premium!$C$7="FL",IF(Premium!$C$26="No",CL23,DI23),BJ23)</f>
        <v>1.5</v>
      </c>
      <c r="O19" s="103">
        <f>IF(Premium!$C$7="FL",IF(Premium!$C$26="No",CM23,DJ23),BK23)</f>
        <v>2.3199999999999998</v>
      </c>
      <c r="P19" s="98">
        <f>IF(Premium!$C$7="FL",IF(Premium!$C$26="No",CN23,DK23),BL23)</f>
        <v>2.23</v>
      </c>
      <c r="Q19" s="106">
        <f>IF(Premium!$C$7="FL",IF(Premium!$C$26="No",CO23,DL23),BM23)</f>
        <v>2.23</v>
      </c>
      <c r="R19" s="108">
        <f>IF(Premium!$C$7="FL",IF(Premium!$C$26="No",CP23,DM23),BN23)</f>
        <v>1.8</v>
      </c>
      <c r="S19" s="98">
        <f>IF(Premium!$C$7="FL",IF(Premium!$C$26="No",CQ23,DN23),BO23)</f>
        <v>1.65</v>
      </c>
      <c r="T19" s="106">
        <f>IF(Premium!$C$7="FL",IF(Premium!$C$26="No",CR23,DO23),BP23)</f>
        <v>1.65</v>
      </c>
      <c r="U19" s="103">
        <f>IF(Premium!$C$7="FL",IF(Premium!$C$26="No",CS23,DP23),BQ23)</f>
        <v>2.5499999999999998</v>
      </c>
      <c r="V19" s="98">
        <f>IF(Premium!$C$7="FL",IF(Premium!$C$26="No",CT23,DQ23),BR23)</f>
        <v>2.4500000000000002</v>
      </c>
      <c r="W19" s="99">
        <f>IF(Premium!$C$7="FL",IF(Premium!$C$26="No",CU23,DR23),BS23)</f>
        <v>2.4500000000000002</v>
      </c>
      <c r="X19" s="15"/>
      <c r="Y19" s="108">
        <f>IF(Premium!$C$7="FL",IF(Premium!$C$26="No",CV23,DS23),BT23)</f>
        <v>4.58</v>
      </c>
      <c r="Z19" s="106">
        <f>IF(Premium!$C$7="FL",IF(Premium!$C$26="No",CW23,DT23),BU23)</f>
        <v>2.15</v>
      </c>
      <c r="AA19" s="103">
        <f t="shared" ref="AA19:AE19" si="10">BV23</f>
        <v>5.25</v>
      </c>
      <c r="AB19" s="106">
        <f t="shared" si="10"/>
        <v>2.5499999999999998</v>
      </c>
      <c r="AC19" s="15">
        <f t="shared" si="10"/>
        <v>1.25</v>
      </c>
      <c r="AD19" s="111">
        <f t="shared" si="10"/>
        <v>0.35299999999999998</v>
      </c>
      <c r="AE19" s="112">
        <f t="shared" si="10"/>
        <v>0.124</v>
      </c>
      <c r="AK19" s="176" t="s">
        <v>147</v>
      </c>
      <c r="AL19" s="183">
        <f>NPV($AL$3,Projections!N4:N78)*(1+$AL$3)^0.5</f>
        <v>531199.76510253455</v>
      </c>
      <c r="AM19" s="181"/>
      <c r="AN19" s="181"/>
      <c r="AY19" s="342">
        <v>44</v>
      </c>
      <c r="AZ19" s="343">
        <v>36.049999999999997</v>
      </c>
      <c r="BA19" s="345">
        <v>44.66</v>
      </c>
      <c r="BB19" s="343">
        <v>56.4</v>
      </c>
      <c r="BC19" s="344">
        <v>68.16</v>
      </c>
      <c r="BD19" s="343">
        <v>56.4</v>
      </c>
      <c r="BE19" s="344">
        <v>68.16</v>
      </c>
      <c r="BF19" s="345">
        <v>2.63</v>
      </c>
      <c r="BG19" s="346">
        <v>26.1</v>
      </c>
      <c r="BH19" s="347">
        <v>1.58</v>
      </c>
      <c r="BI19" s="348">
        <v>1.46</v>
      </c>
      <c r="BJ19" s="345">
        <v>1.46</v>
      </c>
      <c r="BK19" s="349">
        <v>2.2000000000000002</v>
      </c>
      <c r="BL19" s="348">
        <v>2.14</v>
      </c>
      <c r="BM19" s="345">
        <v>2.14</v>
      </c>
      <c r="BN19" s="349">
        <v>1.74</v>
      </c>
      <c r="BO19" s="348">
        <v>1.61</v>
      </c>
      <c r="BP19" s="345">
        <v>1.61</v>
      </c>
      <c r="BQ19" s="348">
        <v>2.42</v>
      </c>
      <c r="BR19" s="348">
        <v>2.35</v>
      </c>
      <c r="BS19" s="348">
        <v>2.35</v>
      </c>
      <c r="BT19" s="347">
        <v>4.95</v>
      </c>
      <c r="BU19" s="344">
        <v>2.21</v>
      </c>
      <c r="BV19" s="347">
        <v>5.8</v>
      </c>
      <c r="BW19" s="344">
        <v>2.58</v>
      </c>
      <c r="BX19" s="343">
        <v>1.25</v>
      </c>
      <c r="BY19" s="350">
        <v>0.41899999999999998</v>
      </c>
      <c r="BZ19" s="351">
        <v>0.14199999999999999</v>
      </c>
      <c r="CC19" s="342">
        <v>44</v>
      </c>
      <c r="CD19" s="343">
        <v>46.87</v>
      </c>
      <c r="CE19" s="345">
        <v>58.06</v>
      </c>
      <c r="CF19" s="343">
        <v>79.92</v>
      </c>
      <c r="CG19" s="344">
        <v>96.58</v>
      </c>
      <c r="CH19" s="343">
        <v>79.92</v>
      </c>
      <c r="CI19" s="344">
        <v>96.58</v>
      </c>
      <c r="CJ19" s="347">
        <v>1.58</v>
      </c>
      <c r="CK19" s="348">
        <v>1.46</v>
      </c>
      <c r="CL19" s="345">
        <v>1.46</v>
      </c>
      <c r="CM19" s="349">
        <v>2.2000000000000002</v>
      </c>
      <c r="CN19" s="348">
        <v>2.14</v>
      </c>
      <c r="CO19" s="345">
        <v>2.14</v>
      </c>
      <c r="CP19" s="349">
        <v>1.74</v>
      </c>
      <c r="CQ19" s="348">
        <v>1.61</v>
      </c>
      <c r="CR19" s="345">
        <v>1.61</v>
      </c>
      <c r="CS19" s="348">
        <v>2.42</v>
      </c>
      <c r="CT19" s="348">
        <v>2.35</v>
      </c>
      <c r="CU19" s="348">
        <v>2.35</v>
      </c>
      <c r="CV19" s="347">
        <v>4.95</v>
      </c>
      <c r="CW19" s="344">
        <v>2.21</v>
      </c>
      <c r="CZ19" s="342">
        <v>44</v>
      </c>
      <c r="DA19" s="343">
        <v>44.52</v>
      </c>
      <c r="DB19" s="345">
        <v>55.15</v>
      </c>
      <c r="DC19" s="343">
        <v>75.92</v>
      </c>
      <c r="DD19" s="344">
        <v>91.75</v>
      </c>
      <c r="DE19" s="343">
        <v>75.92</v>
      </c>
      <c r="DF19" s="344">
        <v>91.75</v>
      </c>
      <c r="DG19" s="347">
        <v>1.58</v>
      </c>
      <c r="DH19" s="348">
        <v>1.46</v>
      </c>
      <c r="DI19" s="345">
        <v>1.46</v>
      </c>
      <c r="DJ19" s="349">
        <v>2.2000000000000002</v>
      </c>
      <c r="DK19" s="348">
        <v>2.14</v>
      </c>
      <c r="DL19" s="345">
        <v>2.14</v>
      </c>
      <c r="DM19" s="349">
        <v>1.74</v>
      </c>
      <c r="DN19" s="348">
        <v>1.61</v>
      </c>
      <c r="DO19" s="345">
        <v>1.61</v>
      </c>
      <c r="DP19" s="348">
        <v>2.42</v>
      </c>
      <c r="DQ19" s="348">
        <v>2.35</v>
      </c>
      <c r="DR19" s="348">
        <v>2.35</v>
      </c>
      <c r="DS19" s="347">
        <v>4.95</v>
      </c>
      <c r="DT19" s="344">
        <v>2.21</v>
      </c>
    </row>
    <row r="20" spans="1:124">
      <c r="A20" s="59">
        <v>49</v>
      </c>
      <c r="B20" s="473">
        <f>IF(Premium!$C$7="FL",IF(Premium!$C$26="No",CD24,DA24),AZ24)</f>
        <v>40.85</v>
      </c>
      <c r="C20" s="473">
        <f>IF(Premium!$C$7="FL",IF(Premium!$C$26="No",CE24,DB24),BA24)</f>
        <v>50.48</v>
      </c>
      <c r="D20" s="473">
        <f>IF(Premium!$C$7="FL",IF(Premium!$C$26="No",CF24,DC24),BB24)</f>
        <v>64</v>
      </c>
      <c r="E20" s="473">
        <f>IF(Premium!$C$7="FL",IF(Premium!$C$26="No",CG24,DD24),BC24)</f>
        <v>77.319999999999993</v>
      </c>
      <c r="F20" s="473">
        <f>IF(Premium!$C$7="FL",IF(Premium!$C$26="No",CH24,DE24),BD24)</f>
        <v>64</v>
      </c>
      <c r="G20" s="473">
        <f>IF(Premium!$C$7="FL",IF(Premium!$C$26="No",CI24,DF24),BE24)</f>
        <v>77.319999999999993</v>
      </c>
      <c r="H20" s="15"/>
      <c r="I20" s="92">
        <f t="shared" si="2"/>
        <v>2.39</v>
      </c>
      <c r="J20" s="93">
        <f t="shared" si="0"/>
        <v>23.39</v>
      </c>
      <c r="K20" s="60"/>
      <c r="L20" s="92">
        <f>IF(Premium!$C$7="FL",IF(Premium!$C$26="No",CJ24,DG24),BH24)</f>
        <v>1.67</v>
      </c>
      <c r="M20" s="98">
        <f>IF(Premium!$C$7="FL",IF(Premium!$C$26="No",CK24,DH24),BI24)</f>
        <v>1.51</v>
      </c>
      <c r="N20" s="106">
        <f>IF(Premium!$C$7="FL",IF(Premium!$C$26="No",CL24,DI24),BJ24)</f>
        <v>1.51</v>
      </c>
      <c r="O20" s="103">
        <f>IF(Premium!$C$7="FL",IF(Premium!$C$26="No",CM24,DJ24),BK24)</f>
        <v>2.34</v>
      </c>
      <c r="P20" s="98">
        <f>IF(Premium!$C$7="FL",IF(Premium!$C$26="No",CN24,DK24),BL24)</f>
        <v>2.2599999999999998</v>
      </c>
      <c r="Q20" s="106">
        <f>IF(Premium!$C$7="FL",IF(Premium!$C$26="No",CO24,DL24),BM24)</f>
        <v>2.2599999999999998</v>
      </c>
      <c r="R20" s="108">
        <f>IF(Premium!$C$7="FL",IF(Premium!$C$26="No",CP24,DM24),BN24)</f>
        <v>1.84</v>
      </c>
      <c r="S20" s="98">
        <f>IF(Premium!$C$7="FL",IF(Premium!$C$26="No",CQ24,DN24),BO24)</f>
        <v>1.66</v>
      </c>
      <c r="T20" s="106">
        <f>IF(Premium!$C$7="FL",IF(Premium!$C$26="No",CR24,DO24),BP24)</f>
        <v>1.66</v>
      </c>
      <c r="U20" s="103">
        <f>IF(Premium!$C$7="FL",IF(Premium!$C$26="No",CS24,DP24),BQ24)</f>
        <v>2.57</v>
      </c>
      <c r="V20" s="98">
        <f>IF(Premium!$C$7="FL",IF(Premium!$C$26="No",CT24,DQ24),BR24)</f>
        <v>2.4900000000000002</v>
      </c>
      <c r="W20" s="99">
        <f>IF(Premium!$C$7="FL",IF(Premium!$C$26="No",CU24,DR24),BS24)</f>
        <v>2.4900000000000002</v>
      </c>
      <c r="X20" s="15"/>
      <c r="Y20" s="108">
        <f>IF(Premium!$C$7="FL",IF(Premium!$C$26="No",CV24,DS24),BT24)</f>
        <v>4.49</v>
      </c>
      <c r="Z20" s="106">
        <f>IF(Premium!$C$7="FL",IF(Premium!$C$26="No",CW24,DT24),BU24)</f>
        <v>2.14</v>
      </c>
      <c r="AA20" s="103">
        <f t="shared" ref="AA20:AE20" si="11">BV24</f>
        <v>5.13</v>
      </c>
      <c r="AB20" s="106">
        <f t="shared" si="11"/>
        <v>2.5499999999999998</v>
      </c>
      <c r="AC20" s="15">
        <f t="shared" si="11"/>
        <v>1.25</v>
      </c>
      <c r="AD20" s="111">
        <f t="shared" si="11"/>
        <v>0.33800000000000002</v>
      </c>
      <c r="AE20" s="112">
        <f t="shared" si="11"/>
        <v>0.12</v>
      </c>
      <c r="AK20" s="176" t="s">
        <v>151</v>
      </c>
      <c r="AL20" s="183">
        <f ca="1">AL19-AL18</f>
        <v>480949.16839975317</v>
      </c>
      <c r="AM20" s="181"/>
      <c r="AN20" s="181"/>
      <c r="AY20" s="342">
        <v>45</v>
      </c>
      <c r="AZ20" s="343">
        <v>36.96</v>
      </c>
      <c r="BA20" s="345">
        <v>45.77</v>
      </c>
      <c r="BB20" s="343">
        <v>57.85</v>
      </c>
      <c r="BC20" s="344">
        <v>69.900000000000006</v>
      </c>
      <c r="BD20" s="343">
        <v>57.85</v>
      </c>
      <c r="BE20" s="344">
        <v>69.900000000000006</v>
      </c>
      <c r="BF20" s="345">
        <v>2.58</v>
      </c>
      <c r="BG20" s="346">
        <v>25.54</v>
      </c>
      <c r="BH20" s="347">
        <v>1.6</v>
      </c>
      <c r="BI20" s="348">
        <v>1.48</v>
      </c>
      <c r="BJ20" s="345">
        <v>1.48</v>
      </c>
      <c r="BK20" s="349">
        <v>2.2200000000000002</v>
      </c>
      <c r="BL20" s="348">
        <v>2.16</v>
      </c>
      <c r="BM20" s="345">
        <v>2.16</v>
      </c>
      <c r="BN20" s="349">
        <v>1.76</v>
      </c>
      <c r="BO20" s="348">
        <v>1.63</v>
      </c>
      <c r="BP20" s="345">
        <v>1.63</v>
      </c>
      <c r="BQ20" s="348">
        <v>2.44</v>
      </c>
      <c r="BR20" s="348">
        <v>2.38</v>
      </c>
      <c r="BS20" s="348">
        <v>2.38</v>
      </c>
      <c r="BT20" s="347">
        <v>4.8499999999999996</v>
      </c>
      <c r="BU20" s="344">
        <v>2.2000000000000002</v>
      </c>
      <c r="BV20" s="347">
        <v>5.66</v>
      </c>
      <c r="BW20" s="344">
        <v>2.57</v>
      </c>
      <c r="BX20" s="343">
        <v>1.25</v>
      </c>
      <c r="BY20" s="350">
        <v>0.40200000000000002</v>
      </c>
      <c r="BZ20" s="351">
        <v>0.13700000000000001</v>
      </c>
      <c r="CC20" s="342">
        <v>45</v>
      </c>
      <c r="CD20" s="343">
        <v>48.05</v>
      </c>
      <c r="CE20" s="345">
        <v>59.5</v>
      </c>
      <c r="CF20" s="343">
        <v>81.98</v>
      </c>
      <c r="CG20" s="344">
        <v>99.05</v>
      </c>
      <c r="CH20" s="343">
        <v>81.98</v>
      </c>
      <c r="CI20" s="344">
        <v>99.05</v>
      </c>
      <c r="CJ20" s="347">
        <v>1.6</v>
      </c>
      <c r="CK20" s="348">
        <v>1.48</v>
      </c>
      <c r="CL20" s="345">
        <v>1.48</v>
      </c>
      <c r="CM20" s="349">
        <v>2.2200000000000002</v>
      </c>
      <c r="CN20" s="348">
        <v>2.16</v>
      </c>
      <c r="CO20" s="345">
        <v>2.16</v>
      </c>
      <c r="CP20" s="349">
        <v>1.76</v>
      </c>
      <c r="CQ20" s="348">
        <v>1.63</v>
      </c>
      <c r="CR20" s="345">
        <v>1.63</v>
      </c>
      <c r="CS20" s="348">
        <v>2.44</v>
      </c>
      <c r="CT20" s="348">
        <v>2.38</v>
      </c>
      <c r="CU20" s="348">
        <v>2.38</v>
      </c>
      <c r="CV20" s="347">
        <v>4.8499999999999996</v>
      </c>
      <c r="CW20" s="344">
        <v>2.2000000000000002</v>
      </c>
      <c r="CZ20" s="342">
        <v>45</v>
      </c>
      <c r="DA20" s="343">
        <v>45.64</v>
      </c>
      <c r="DB20" s="345">
        <v>56.52</v>
      </c>
      <c r="DC20" s="343">
        <v>77.87</v>
      </c>
      <c r="DD20" s="344">
        <v>94.09</v>
      </c>
      <c r="DE20" s="343">
        <v>77.87</v>
      </c>
      <c r="DF20" s="344">
        <v>94.09</v>
      </c>
      <c r="DG20" s="347">
        <v>1.6</v>
      </c>
      <c r="DH20" s="348">
        <v>1.48</v>
      </c>
      <c r="DI20" s="345">
        <v>1.48</v>
      </c>
      <c r="DJ20" s="349">
        <v>2.2200000000000002</v>
      </c>
      <c r="DK20" s="348">
        <v>2.16</v>
      </c>
      <c r="DL20" s="345">
        <v>2.16</v>
      </c>
      <c r="DM20" s="349">
        <v>1.76</v>
      </c>
      <c r="DN20" s="348">
        <v>1.63</v>
      </c>
      <c r="DO20" s="345">
        <v>1.63</v>
      </c>
      <c r="DP20" s="348">
        <v>2.44</v>
      </c>
      <c r="DQ20" s="348">
        <v>2.38</v>
      </c>
      <c r="DR20" s="348">
        <v>2.38</v>
      </c>
      <c r="DS20" s="347">
        <v>4.8499999999999996</v>
      </c>
      <c r="DT20" s="344">
        <v>2.2000000000000002</v>
      </c>
    </row>
    <row r="21" spans="1:124">
      <c r="A21" s="59">
        <v>50</v>
      </c>
      <c r="B21" s="473">
        <f>IF(Premium!$C$7="FL",IF(Premium!$C$26="No",CD25,DA25),AZ25)</f>
        <v>41.88</v>
      </c>
      <c r="C21" s="473">
        <f>IF(Premium!$C$7="FL",IF(Premium!$C$26="No",CE25,DB25),BA25)</f>
        <v>51.73</v>
      </c>
      <c r="D21" s="473">
        <f>IF(Premium!$C$7="FL",IF(Premium!$C$26="No",CF25,DC25),BB25)</f>
        <v>65.64</v>
      </c>
      <c r="E21" s="473">
        <f>IF(Premium!$C$7="FL",IF(Premium!$C$26="No",CG25,DD25),BC25)</f>
        <v>79.290000000000006</v>
      </c>
      <c r="F21" s="473">
        <f>IF(Premium!$C$7="FL",IF(Premium!$C$26="No",CH25,DE25),BD25)</f>
        <v>65.64</v>
      </c>
      <c r="G21" s="473">
        <f>IF(Premium!$C$7="FL",IF(Premium!$C$26="No",CI25,DF25),BE25)</f>
        <v>79.290000000000006</v>
      </c>
      <c r="H21" s="15"/>
      <c r="I21" s="92">
        <f t="shared" si="2"/>
        <v>2.34</v>
      </c>
      <c r="J21" s="93">
        <f t="shared" si="0"/>
        <v>22.88</v>
      </c>
      <c r="K21" s="60"/>
      <c r="L21" s="92">
        <f>IF(Premium!$C$7="FL",IF(Premium!$C$26="No",CJ25,DG25),BH25)</f>
        <v>1.68</v>
      </c>
      <c r="M21" s="98">
        <f>IF(Premium!$C$7="FL",IF(Premium!$C$26="No",CK25,DH25),BI25)</f>
        <v>1.52</v>
      </c>
      <c r="N21" s="106">
        <f>IF(Premium!$C$7="FL",IF(Premium!$C$26="No",CL25,DI25),BJ25)</f>
        <v>1.52</v>
      </c>
      <c r="O21" s="103">
        <f>IF(Premium!$C$7="FL",IF(Premium!$C$26="No",CM25,DJ25),BK25)</f>
        <v>2.38</v>
      </c>
      <c r="P21" s="98">
        <f>IF(Premium!$C$7="FL",IF(Premium!$C$26="No",CN25,DK25),BL25)</f>
        <v>2.2799999999999998</v>
      </c>
      <c r="Q21" s="106">
        <f>IF(Premium!$C$7="FL",IF(Premium!$C$26="No",CO25,DL25),BM25)</f>
        <v>2.2799999999999998</v>
      </c>
      <c r="R21" s="108">
        <f>IF(Premium!$C$7="FL",IF(Premium!$C$26="No",CP25,DM25),BN25)</f>
        <v>1.85</v>
      </c>
      <c r="S21" s="98">
        <f>IF(Premium!$C$7="FL",IF(Premium!$C$26="No",CQ25,DN25),BO25)</f>
        <v>1.67</v>
      </c>
      <c r="T21" s="106">
        <f>IF(Premium!$C$7="FL",IF(Premium!$C$26="No",CR25,DO25),BP25)</f>
        <v>1.67</v>
      </c>
      <c r="U21" s="103">
        <f>IF(Premium!$C$7="FL",IF(Premium!$C$26="No",CS25,DP25),BQ25)</f>
        <v>2.62</v>
      </c>
      <c r="V21" s="98">
        <f>IF(Premium!$C$7="FL",IF(Premium!$C$26="No",CT25,DQ25),BR25)</f>
        <v>2.5099999999999998</v>
      </c>
      <c r="W21" s="99">
        <f>IF(Premium!$C$7="FL",IF(Premium!$C$26="No",CU25,DR25),BS25)</f>
        <v>2.5099999999999998</v>
      </c>
      <c r="X21" s="15"/>
      <c r="Y21" s="108">
        <f>IF(Premium!$C$7="FL",IF(Premium!$C$26="No",CV25,DS25),BT25)</f>
        <v>4.4000000000000004</v>
      </c>
      <c r="Z21" s="106">
        <f>IF(Premium!$C$7="FL",IF(Premium!$C$26="No",CW25,DT25),BU25)</f>
        <v>2.12</v>
      </c>
      <c r="AA21" s="103">
        <f t="shared" ref="AA21:AE21" si="12">BV25</f>
        <v>5.17</v>
      </c>
      <c r="AB21" s="106">
        <f t="shared" si="12"/>
        <v>2.54</v>
      </c>
      <c r="AC21" s="15">
        <f t="shared" si="12"/>
        <v>1.25</v>
      </c>
      <c r="AD21" s="111">
        <f t="shared" si="12"/>
        <v>0.32400000000000001</v>
      </c>
      <c r="AE21" s="112">
        <f t="shared" si="12"/>
        <v>0.11600000000000001</v>
      </c>
      <c r="AK21" s="176" t="s">
        <v>148</v>
      </c>
      <c r="AL21" s="184">
        <f ca="1">$AL$11/$AL$10</f>
        <v>7.5069172227498706</v>
      </c>
      <c r="AM21" s="181"/>
      <c r="AN21" s="181"/>
      <c r="AY21" s="342">
        <v>46</v>
      </c>
      <c r="AZ21" s="343">
        <v>37.9</v>
      </c>
      <c r="BA21" s="345">
        <v>46.9</v>
      </c>
      <c r="BB21" s="343">
        <v>59.33</v>
      </c>
      <c r="BC21" s="344">
        <v>71.680000000000007</v>
      </c>
      <c r="BD21" s="343">
        <v>59.33</v>
      </c>
      <c r="BE21" s="344">
        <v>71.680000000000007</v>
      </c>
      <c r="BF21" s="345">
        <v>2.5299999999999998</v>
      </c>
      <c r="BG21" s="346">
        <v>24.98</v>
      </c>
      <c r="BH21" s="347">
        <v>1.62</v>
      </c>
      <c r="BI21" s="348">
        <v>1.49</v>
      </c>
      <c r="BJ21" s="345">
        <v>1.49</v>
      </c>
      <c r="BK21" s="349">
        <v>2.2599999999999998</v>
      </c>
      <c r="BL21" s="348">
        <v>2.1800000000000002</v>
      </c>
      <c r="BM21" s="345">
        <v>2.1800000000000002</v>
      </c>
      <c r="BN21" s="349">
        <v>1.78</v>
      </c>
      <c r="BO21" s="348">
        <v>1.64</v>
      </c>
      <c r="BP21" s="345">
        <v>1.64</v>
      </c>
      <c r="BQ21" s="348">
        <v>2.4900000000000002</v>
      </c>
      <c r="BR21" s="348">
        <v>2.4</v>
      </c>
      <c r="BS21" s="348">
        <v>2.4</v>
      </c>
      <c r="BT21" s="347">
        <v>4.76</v>
      </c>
      <c r="BU21" s="344">
        <v>2.1800000000000002</v>
      </c>
      <c r="BV21" s="347">
        <v>5.52</v>
      </c>
      <c r="BW21" s="344">
        <v>2.57</v>
      </c>
      <c r="BX21" s="343">
        <v>1.25</v>
      </c>
      <c r="BY21" s="350">
        <v>0.38500000000000001</v>
      </c>
      <c r="BZ21" s="351">
        <v>0.13300000000000001</v>
      </c>
      <c r="CC21" s="342">
        <v>46</v>
      </c>
      <c r="CD21" s="343">
        <v>49.27</v>
      </c>
      <c r="CE21" s="345">
        <v>60.97</v>
      </c>
      <c r="CF21" s="343">
        <v>84.07</v>
      </c>
      <c r="CG21" s="344">
        <v>101.57</v>
      </c>
      <c r="CH21" s="343">
        <v>84.07</v>
      </c>
      <c r="CI21" s="344">
        <v>101.57</v>
      </c>
      <c r="CJ21" s="347">
        <v>1.62</v>
      </c>
      <c r="CK21" s="348">
        <v>1.49</v>
      </c>
      <c r="CL21" s="345">
        <v>1.49</v>
      </c>
      <c r="CM21" s="349">
        <v>2.2599999999999998</v>
      </c>
      <c r="CN21" s="348">
        <v>2.1800000000000002</v>
      </c>
      <c r="CO21" s="345">
        <v>2.1800000000000002</v>
      </c>
      <c r="CP21" s="349">
        <v>1.78</v>
      </c>
      <c r="CQ21" s="348">
        <v>1.64</v>
      </c>
      <c r="CR21" s="345">
        <v>1.64</v>
      </c>
      <c r="CS21" s="348">
        <v>2.4900000000000002</v>
      </c>
      <c r="CT21" s="348">
        <v>2.4</v>
      </c>
      <c r="CU21" s="348">
        <v>2.4</v>
      </c>
      <c r="CV21" s="347">
        <v>4.76</v>
      </c>
      <c r="CW21" s="344">
        <v>2.1800000000000002</v>
      </c>
      <c r="CZ21" s="342">
        <v>46</v>
      </c>
      <c r="DA21" s="343">
        <v>46.8</v>
      </c>
      <c r="DB21" s="345">
        <v>57.92</v>
      </c>
      <c r="DC21" s="343">
        <v>79.86</v>
      </c>
      <c r="DD21" s="344">
        <v>96.49</v>
      </c>
      <c r="DE21" s="343">
        <v>79.86</v>
      </c>
      <c r="DF21" s="344">
        <v>96.49</v>
      </c>
      <c r="DG21" s="347">
        <v>1.62</v>
      </c>
      <c r="DH21" s="348">
        <v>1.49</v>
      </c>
      <c r="DI21" s="345">
        <v>1.49</v>
      </c>
      <c r="DJ21" s="349">
        <v>2.2599999999999998</v>
      </c>
      <c r="DK21" s="348">
        <v>2.1800000000000002</v>
      </c>
      <c r="DL21" s="345">
        <v>2.1800000000000002</v>
      </c>
      <c r="DM21" s="349">
        <v>1.78</v>
      </c>
      <c r="DN21" s="348">
        <v>1.64</v>
      </c>
      <c r="DO21" s="345">
        <v>1.64</v>
      </c>
      <c r="DP21" s="348">
        <v>2.4900000000000002</v>
      </c>
      <c r="DQ21" s="348">
        <v>2.4</v>
      </c>
      <c r="DR21" s="348">
        <v>2.4</v>
      </c>
      <c r="DS21" s="347">
        <v>4.76</v>
      </c>
      <c r="DT21" s="344">
        <v>2.1800000000000002</v>
      </c>
    </row>
    <row r="22" spans="1:124">
      <c r="A22" s="59">
        <v>51</v>
      </c>
      <c r="B22" s="473">
        <f>IF(Premium!$C$7="FL",IF(Premium!$C$26="No",CD26,DA26),AZ26)</f>
        <v>43.6</v>
      </c>
      <c r="C22" s="473">
        <f>IF(Premium!$C$7="FL",IF(Premium!$C$26="No",CE26,DB26),BA26)</f>
        <v>53.78</v>
      </c>
      <c r="D22" s="473">
        <f>IF(Premium!$C$7="FL",IF(Premium!$C$26="No",CF26,DC26),BB26)</f>
        <v>68.319999999999993</v>
      </c>
      <c r="E22" s="473">
        <f>IF(Premium!$C$7="FL",IF(Premium!$C$26="No",CG26,DD26),BC26)</f>
        <v>82.46</v>
      </c>
      <c r="F22" s="473">
        <f>IF(Premium!$C$7="FL",IF(Premium!$C$26="No",CH26,DE26),BD26)</f>
        <v>68.319999999999993</v>
      </c>
      <c r="G22" s="473">
        <f>IF(Premium!$C$7="FL",IF(Premium!$C$26="No",CI26,DF26),BE26)</f>
        <v>82.46</v>
      </c>
      <c r="H22" s="15"/>
      <c r="I22" s="92">
        <f t="shared" si="2"/>
        <v>2.31</v>
      </c>
      <c r="J22" s="93">
        <f t="shared" si="0"/>
        <v>22.6</v>
      </c>
      <c r="K22" s="60"/>
      <c r="L22" s="92">
        <f>IF(Premium!$C$7="FL",IF(Premium!$C$26="No",CJ26,DG26),BH26)</f>
        <v>1.7</v>
      </c>
      <c r="M22" s="98">
        <f>IF(Premium!$C$7="FL",IF(Premium!$C$26="No",CK26,DH26),BI26)</f>
        <v>1.54</v>
      </c>
      <c r="N22" s="106">
        <f>IF(Premium!$C$7="FL",IF(Premium!$C$26="No",CL26,DI26),BJ26)</f>
        <v>1.54</v>
      </c>
      <c r="O22" s="103">
        <f>IF(Premium!$C$7="FL",IF(Premium!$C$26="No",CM26,DJ26),BK26)</f>
        <v>2.42</v>
      </c>
      <c r="P22" s="98">
        <f>IF(Premium!$C$7="FL",IF(Premium!$C$26="No",CN26,DK26),BL26)</f>
        <v>2.3199999999999998</v>
      </c>
      <c r="Q22" s="106">
        <f>IF(Premium!$C$7="FL",IF(Premium!$C$26="No",CO26,DL26),BM26)</f>
        <v>2.3199999999999998</v>
      </c>
      <c r="R22" s="108">
        <f>IF(Premium!$C$7="FL",IF(Premium!$C$26="No",CP26,DM26),BN26)</f>
        <v>1.87</v>
      </c>
      <c r="S22" s="98">
        <f>IF(Premium!$C$7="FL",IF(Premium!$C$26="No",CQ26,DN26),BO26)</f>
        <v>1.69</v>
      </c>
      <c r="T22" s="106">
        <f>IF(Premium!$C$7="FL",IF(Premium!$C$26="No",CR26,DO26),BP26)</f>
        <v>1.69</v>
      </c>
      <c r="U22" s="103">
        <f>IF(Premium!$C$7="FL",IF(Premium!$C$26="No",CS26,DP26),BQ26)</f>
        <v>2.66</v>
      </c>
      <c r="V22" s="98">
        <f>IF(Premium!$C$7="FL",IF(Premium!$C$26="No",CT26,DQ26),BR26)</f>
        <v>2.5499999999999998</v>
      </c>
      <c r="W22" s="99">
        <f>IF(Premium!$C$7="FL",IF(Premium!$C$26="No",CU26,DR26),BS26)</f>
        <v>2.5499999999999998</v>
      </c>
      <c r="X22" s="15"/>
      <c r="Y22" s="108">
        <f>IF(Premium!$C$7="FL",IF(Premium!$C$26="No",CV26,DS26),BT26)</f>
        <v>4.2699999999999996</v>
      </c>
      <c r="Z22" s="106">
        <f>IF(Premium!$C$7="FL",IF(Premium!$C$26="No",CW26,DT26),BU26)</f>
        <v>2.09</v>
      </c>
      <c r="AA22" s="103">
        <f t="shared" ref="AA22:AE22" si="13">BV26</f>
        <v>5</v>
      </c>
      <c r="AB22" s="106">
        <f t="shared" si="13"/>
        <v>2.4900000000000002</v>
      </c>
      <c r="AC22" s="15">
        <f t="shared" si="13"/>
        <v>1.25</v>
      </c>
      <c r="AD22" s="111">
        <f t="shared" si="13"/>
        <v>0.31</v>
      </c>
      <c r="AE22" s="112">
        <f t="shared" si="13"/>
        <v>0.111</v>
      </c>
      <c r="AK22" s="176" t="s">
        <v>161</v>
      </c>
      <c r="AL22" s="184">
        <f ca="1">IFERROR($AL$14/$AL$10,"")</f>
        <v>23.716423470205875</v>
      </c>
      <c r="AM22" s="181"/>
      <c r="AN22" s="181"/>
      <c r="AY22" s="342">
        <v>47</v>
      </c>
      <c r="AZ22" s="343">
        <v>38.86</v>
      </c>
      <c r="BA22" s="345">
        <v>48.06</v>
      </c>
      <c r="BB22" s="343">
        <v>60.85</v>
      </c>
      <c r="BC22" s="344">
        <v>73.510000000000005</v>
      </c>
      <c r="BD22" s="343">
        <v>60.85</v>
      </c>
      <c r="BE22" s="344">
        <v>73.510000000000005</v>
      </c>
      <c r="BF22" s="345">
        <v>2.48</v>
      </c>
      <c r="BG22" s="346">
        <v>24.44</v>
      </c>
      <c r="BH22" s="347">
        <v>1.63</v>
      </c>
      <c r="BI22" s="348">
        <v>1.5</v>
      </c>
      <c r="BJ22" s="345">
        <v>1.5</v>
      </c>
      <c r="BK22" s="349">
        <v>2.2799999999999998</v>
      </c>
      <c r="BL22" s="348">
        <v>2.21</v>
      </c>
      <c r="BM22" s="345">
        <v>2.21</v>
      </c>
      <c r="BN22" s="349">
        <v>1.79</v>
      </c>
      <c r="BO22" s="348">
        <v>1.65</v>
      </c>
      <c r="BP22" s="345">
        <v>1.65</v>
      </c>
      <c r="BQ22" s="348">
        <v>2.5099999999999998</v>
      </c>
      <c r="BR22" s="348">
        <v>2.4300000000000002</v>
      </c>
      <c r="BS22" s="348">
        <v>2.4300000000000002</v>
      </c>
      <c r="BT22" s="347">
        <v>4.67</v>
      </c>
      <c r="BU22" s="344">
        <v>2.17</v>
      </c>
      <c r="BV22" s="347">
        <v>5.39</v>
      </c>
      <c r="BW22" s="344">
        <v>2.56</v>
      </c>
      <c r="BX22" s="343">
        <v>1.25</v>
      </c>
      <c r="BY22" s="350">
        <v>0.36899999999999999</v>
      </c>
      <c r="BZ22" s="351">
        <v>0.128</v>
      </c>
      <c r="CC22" s="342">
        <v>47</v>
      </c>
      <c r="CD22" s="343">
        <v>50.52</v>
      </c>
      <c r="CE22" s="345">
        <v>62.48</v>
      </c>
      <c r="CF22" s="343">
        <v>86.23</v>
      </c>
      <c r="CG22" s="344">
        <v>104.16</v>
      </c>
      <c r="CH22" s="343">
        <v>86.23</v>
      </c>
      <c r="CI22" s="344">
        <v>104.16</v>
      </c>
      <c r="CJ22" s="347">
        <v>1.63</v>
      </c>
      <c r="CK22" s="348">
        <v>1.5</v>
      </c>
      <c r="CL22" s="345">
        <v>1.5</v>
      </c>
      <c r="CM22" s="349">
        <v>2.2799999999999998</v>
      </c>
      <c r="CN22" s="348">
        <v>2.21</v>
      </c>
      <c r="CO22" s="345">
        <v>2.21</v>
      </c>
      <c r="CP22" s="349">
        <v>1.79</v>
      </c>
      <c r="CQ22" s="348">
        <v>1.65</v>
      </c>
      <c r="CR22" s="345">
        <v>1.65</v>
      </c>
      <c r="CS22" s="348">
        <v>2.5099999999999998</v>
      </c>
      <c r="CT22" s="348">
        <v>2.4300000000000002</v>
      </c>
      <c r="CU22" s="348">
        <v>2.4300000000000002</v>
      </c>
      <c r="CV22" s="347">
        <v>4.67</v>
      </c>
      <c r="CW22" s="344">
        <v>2.17</v>
      </c>
      <c r="CZ22" s="342">
        <v>47</v>
      </c>
      <c r="DA22" s="343">
        <v>47.99</v>
      </c>
      <c r="DB22" s="345">
        <v>59.35</v>
      </c>
      <c r="DC22" s="343">
        <v>81.91</v>
      </c>
      <c r="DD22" s="344">
        <v>98.95</v>
      </c>
      <c r="DE22" s="343">
        <v>81.91</v>
      </c>
      <c r="DF22" s="344">
        <v>98.95</v>
      </c>
      <c r="DG22" s="347">
        <v>1.63</v>
      </c>
      <c r="DH22" s="348">
        <v>1.5</v>
      </c>
      <c r="DI22" s="345">
        <v>1.5</v>
      </c>
      <c r="DJ22" s="349">
        <v>2.2799999999999998</v>
      </c>
      <c r="DK22" s="348">
        <v>2.21</v>
      </c>
      <c r="DL22" s="345">
        <v>2.21</v>
      </c>
      <c r="DM22" s="349">
        <v>1.79</v>
      </c>
      <c r="DN22" s="348">
        <v>1.65</v>
      </c>
      <c r="DO22" s="345">
        <v>1.65</v>
      </c>
      <c r="DP22" s="348">
        <v>2.5099999999999998</v>
      </c>
      <c r="DQ22" s="348">
        <v>2.4300000000000002</v>
      </c>
      <c r="DR22" s="348">
        <v>2.4300000000000002</v>
      </c>
      <c r="DS22" s="347">
        <v>4.67</v>
      </c>
      <c r="DT22" s="344">
        <v>2.17</v>
      </c>
    </row>
    <row r="23" spans="1:124">
      <c r="A23" s="59">
        <v>52</v>
      </c>
      <c r="B23" s="473">
        <f>IF(Premium!$C$7="FL",IF(Premium!$C$26="No",CD27,DA27),AZ27)</f>
        <v>45.39</v>
      </c>
      <c r="C23" s="473">
        <f>IF(Premium!$C$7="FL",IF(Premium!$C$26="No",CE27,DB27),BA27)</f>
        <v>55.92</v>
      </c>
      <c r="D23" s="473">
        <f>IF(Premium!$C$7="FL",IF(Premium!$C$26="No",CF27,DC27),BB27)</f>
        <v>71.11</v>
      </c>
      <c r="E23" s="473">
        <f>IF(Premium!$C$7="FL",IF(Premium!$C$26="No",CG27,DD27),BC27)</f>
        <v>85.75</v>
      </c>
      <c r="F23" s="473">
        <f>IF(Premium!$C$7="FL",IF(Premium!$C$26="No",CH27,DE27),BD27)</f>
        <v>71.11</v>
      </c>
      <c r="G23" s="473">
        <f>IF(Premium!$C$7="FL",IF(Premium!$C$26="No",CI27,DF27),BE27)</f>
        <v>85.75</v>
      </c>
      <c r="H23" s="15"/>
      <c r="I23" s="92">
        <f t="shared" si="2"/>
        <v>2.2799999999999998</v>
      </c>
      <c r="J23" s="93">
        <f t="shared" si="0"/>
        <v>22.33</v>
      </c>
      <c r="K23" s="60"/>
      <c r="L23" s="92">
        <f>IF(Premium!$C$7="FL",IF(Premium!$C$26="No",CJ27,DG27),BH27)</f>
        <v>1.74</v>
      </c>
      <c r="M23" s="98">
        <f>IF(Premium!$C$7="FL",IF(Premium!$C$26="No",CK27,DH27),BI27)</f>
        <v>1.55</v>
      </c>
      <c r="N23" s="106">
        <f>IF(Premium!$C$7="FL",IF(Premium!$C$26="No",CL27,DI27),BJ27)</f>
        <v>1.55</v>
      </c>
      <c r="O23" s="103">
        <f>IF(Premium!$C$7="FL",IF(Premium!$C$26="No",CM27,DJ27),BK27)</f>
        <v>2.48</v>
      </c>
      <c r="P23" s="98">
        <f>IF(Premium!$C$7="FL",IF(Premium!$C$26="No",CN27,DK27),BL27)</f>
        <v>2.34</v>
      </c>
      <c r="Q23" s="106">
        <f>IF(Premium!$C$7="FL",IF(Premium!$C$26="No",CO27,DL27),BM27)</f>
        <v>2.34</v>
      </c>
      <c r="R23" s="108">
        <f>IF(Premium!$C$7="FL",IF(Premium!$C$26="No",CP27,DM27),BN27)</f>
        <v>1.91</v>
      </c>
      <c r="S23" s="98">
        <f>IF(Premium!$C$7="FL",IF(Premium!$C$26="No",CQ27,DN27),BO27)</f>
        <v>1.71</v>
      </c>
      <c r="T23" s="106">
        <f>IF(Premium!$C$7="FL",IF(Premium!$C$26="No",CR27,DO27),BP27)</f>
        <v>1.71</v>
      </c>
      <c r="U23" s="103">
        <f>IF(Premium!$C$7="FL",IF(Premium!$C$26="No",CS27,DP27),BQ27)</f>
        <v>2.73</v>
      </c>
      <c r="V23" s="98">
        <f>IF(Premium!$C$7="FL",IF(Premium!$C$26="No",CT27,DQ27),BR27)</f>
        <v>2.57</v>
      </c>
      <c r="W23" s="99">
        <f>IF(Premium!$C$7="FL",IF(Premium!$C$26="No",CU27,DR27),BS27)</f>
        <v>2.57</v>
      </c>
      <c r="X23" s="15"/>
      <c r="Y23" s="108">
        <f>IF(Premium!$C$7="FL",IF(Premium!$C$26="No",CV27,DS27),BT27)</f>
        <v>4.1399999999999997</v>
      </c>
      <c r="Z23" s="106">
        <f>IF(Premium!$C$7="FL",IF(Premium!$C$26="No",CW27,DT27),BU27)</f>
        <v>2.06</v>
      </c>
      <c r="AA23" s="103">
        <f t="shared" ref="AA23:AE23" si="14">BV27</f>
        <v>4.84</v>
      </c>
      <c r="AB23" s="106">
        <f t="shared" si="14"/>
        <v>2.4500000000000002</v>
      </c>
      <c r="AC23" s="15">
        <f t="shared" si="14"/>
        <v>1.25</v>
      </c>
      <c r="AD23" s="111">
        <f t="shared" si="14"/>
        <v>0.29599999999999999</v>
      </c>
      <c r="AE23" s="112">
        <f t="shared" si="14"/>
        <v>0.107</v>
      </c>
      <c r="AK23" s="176" t="s">
        <v>149</v>
      </c>
      <c r="AL23" s="184">
        <f ca="1">AL19/AL18</f>
        <v>10.571014076597672</v>
      </c>
      <c r="AM23" s="181"/>
      <c r="AN23" s="181"/>
      <c r="AY23" s="342">
        <v>48</v>
      </c>
      <c r="AZ23" s="343">
        <v>39.840000000000003</v>
      </c>
      <c r="BA23" s="345">
        <v>49.26</v>
      </c>
      <c r="BB23" s="343">
        <v>62.4</v>
      </c>
      <c r="BC23" s="344">
        <v>75.39</v>
      </c>
      <c r="BD23" s="343">
        <v>62.4</v>
      </c>
      <c r="BE23" s="344">
        <v>75.39</v>
      </c>
      <c r="BF23" s="345">
        <v>2.4300000000000002</v>
      </c>
      <c r="BG23" s="346">
        <v>23.91</v>
      </c>
      <c r="BH23" s="347">
        <v>1.64</v>
      </c>
      <c r="BI23" s="348">
        <v>1.5</v>
      </c>
      <c r="BJ23" s="345">
        <v>1.5</v>
      </c>
      <c r="BK23" s="349">
        <v>2.3199999999999998</v>
      </c>
      <c r="BL23" s="348">
        <v>2.23</v>
      </c>
      <c r="BM23" s="345">
        <v>2.23</v>
      </c>
      <c r="BN23" s="349">
        <v>1.8</v>
      </c>
      <c r="BO23" s="348">
        <v>1.65</v>
      </c>
      <c r="BP23" s="345">
        <v>1.65</v>
      </c>
      <c r="BQ23" s="348">
        <v>2.5499999999999998</v>
      </c>
      <c r="BR23" s="348">
        <v>2.4500000000000002</v>
      </c>
      <c r="BS23" s="348">
        <v>2.4500000000000002</v>
      </c>
      <c r="BT23" s="347">
        <v>4.58</v>
      </c>
      <c r="BU23" s="344">
        <v>2.15</v>
      </c>
      <c r="BV23" s="347">
        <v>5.25</v>
      </c>
      <c r="BW23" s="344">
        <v>2.5499999999999998</v>
      </c>
      <c r="BX23" s="343">
        <v>1.25</v>
      </c>
      <c r="BY23" s="350">
        <v>0.35299999999999998</v>
      </c>
      <c r="BZ23" s="351">
        <v>0.124</v>
      </c>
      <c r="CC23" s="342">
        <v>48</v>
      </c>
      <c r="CD23" s="343">
        <v>51.79</v>
      </c>
      <c r="CE23" s="345">
        <v>64.040000000000006</v>
      </c>
      <c r="CF23" s="343">
        <v>88.42</v>
      </c>
      <c r="CG23" s="344">
        <v>106.83</v>
      </c>
      <c r="CH23" s="343">
        <v>88.42</v>
      </c>
      <c r="CI23" s="344">
        <v>106.83</v>
      </c>
      <c r="CJ23" s="347">
        <v>1.64</v>
      </c>
      <c r="CK23" s="348">
        <v>1.5</v>
      </c>
      <c r="CL23" s="345">
        <v>1.5</v>
      </c>
      <c r="CM23" s="349">
        <v>2.3199999999999998</v>
      </c>
      <c r="CN23" s="348">
        <v>2.23</v>
      </c>
      <c r="CO23" s="345">
        <v>2.23</v>
      </c>
      <c r="CP23" s="349">
        <v>1.8</v>
      </c>
      <c r="CQ23" s="348">
        <v>1.65</v>
      </c>
      <c r="CR23" s="345">
        <v>1.65</v>
      </c>
      <c r="CS23" s="348">
        <v>2.5499999999999998</v>
      </c>
      <c r="CT23" s="348">
        <v>2.4500000000000002</v>
      </c>
      <c r="CU23" s="348">
        <v>2.4500000000000002</v>
      </c>
      <c r="CV23" s="347">
        <v>4.58</v>
      </c>
      <c r="CW23" s="344">
        <v>2.15</v>
      </c>
      <c r="CZ23" s="342">
        <v>48</v>
      </c>
      <c r="DA23" s="343">
        <v>49.2</v>
      </c>
      <c r="DB23" s="345">
        <v>60.83</v>
      </c>
      <c r="DC23" s="343">
        <v>84</v>
      </c>
      <c r="DD23" s="344">
        <v>101.48</v>
      </c>
      <c r="DE23" s="343">
        <v>84</v>
      </c>
      <c r="DF23" s="344">
        <v>101.48</v>
      </c>
      <c r="DG23" s="347">
        <v>1.64</v>
      </c>
      <c r="DH23" s="348">
        <v>1.5</v>
      </c>
      <c r="DI23" s="345">
        <v>1.5</v>
      </c>
      <c r="DJ23" s="349">
        <v>2.3199999999999998</v>
      </c>
      <c r="DK23" s="348">
        <v>2.23</v>
      </c>
      <c r="DL23" s="345">
        <v>2.23</v>
      </c>
      <c r="DM23" s="349">
        <v>1.8</v>
      </c>
      <c r="DN23" s="348">
        <v>1.65</v>
      </c>
      <c r="DO23" s="345">
        <v>1.65</v>
      </c>
      <c r="DP23" s="348">
        <v>2.5499999999999998</v>
      </c>
      <c r="DQ23" s="348">
        <v>2.4500000000000002</v>
      </c>
      <c r="DR23" s="348">
        <v>2.4500000000000002</v>
      </c>
      <c r="DS23" s="347">
        <v>4.58</v>
      </c>
      <c r="DT23" s="344">
        <v>2.15</v>
      </c>
    </row>
    <row r="24" spans="1:124">
      <c r="A24" s="59">
        <v>53</v>
      </c>
      <c r="B24" s="473">
        <f>IF(Premium!$C$7="FL",IF(Premium!$C$26="No",CD28,DA28),AZ28)</f>
        <v>47.26</v>
      </c>
      <c r="C24" s="473">
        <f>IF(Premium!$C$7="FL",IF(Premium!$C$26="No",CE28,DB28),BA28)</f>
        <v>58.14</v>
      </c>
      <c r="D24" s="473">
        <f>IF(Premium!$C$7="FL",IF(Premium!$C$26="No",CF28,DC28),BB28)</f>
        <v>74.010000000000005</v>
      </c>
      <c r="E24" s="473">
        <f>IF(Premium!$C$7="FL",IF(Premium!$C$26="No",CG28,DD28),BC28)</f>
        <v>89.18</v>
      </c>
      <c r="F24" s="473">
        <f>IF(Premium!$C$7="FL",IF(Premium!$C$26="No",CH28,DE28),BD28)</f>
        <v>74.010000000000005</v>
      </c>
      <c r="G24" s="473">
        <f>IF(Premium!$C$7="FL",IF(Premium!$C$26="No",CI28,DF28),BE28)</f>
        <v>89.18</v>
      </c>
      <c r="H24" s="15"/>
      <c r="I24" s="92">
        <f t="shared" si="2"/>
        <v>2.2599999999999998</v>
      </c>
      <c r="J24" s="93">
        <f t="shared" si="0"/>
        <v>22.05</v>
      </c>
      <c r="K24" s="60"/>
      <c r="L24" s="92">
        <f>IF(Premium!$C$7="FL",IF(Premium!$C$26="No",CJ28,DG28),BH28)</f>
        <v>1.76</v>
      </c>
      <c r="M24" s="98">
        <f>IF(Premium!$C$7="FL",IF(Premium!$C$26="No",CK28,DH28),BI28)</f>
        <v>1.56</v>
      </c>
      <c r="N24" s="106">
        <f>IF(Premium!$C$7="FL",IF(Premium!$C$26="No",CL28,DI28),BJ28)</f>
        <v>1.56</v>
      </c>
      <c r="O24" s="103">
        <f>IF(Premium!$C$7="FL",IF(Premium!$C$26="No",CM28,DJ28),BK28)</f>
        <v>2.5299999999999998</v>
      </c>
      <c r="P24" s="98">
        <f>IF(Premium!$C$7="FL",IF(Premium!$C$26="No",CN28,DK28),BL28)</f>
        <v>2.38</v>
      </c>
      <c r="Q24" s="106">
        <f>IF(Premium!$C$7="FL",IF(Premium!$C$26="No",CO28,DL28),BM28)</f>
        <v>2.38</v>
      </c>
      <c r="R24" s="108">
        <f>IF(Premium!$C$7="FL",IF(Premium!$C$26="No",CP28,DM28),BN28)</f>
        <v>1.94</v>
      </c>
      <c r="S24" s="98">
        <f>IF(Premium!$C$7="FL",IF(Premium!$C$26="No",CQ28,DN28),BO28)</f>
        <v>1.72</v>
      </c>
      <c r="T24" s="106">
        <f>IF(Premium!$C$7="FL",IF(Premium!$C$26="No",CR28,DO28),BP28)</f>
        <v>1.72</v>
      </c>
      <c r="U24" s="103">
        <f>IF(Premium!$C$7="FL",IF(Premium!$C$26="No",CS28,DP28),BQ28)</f>
        <v>2.78</v>
      </c>
      <c r="V24" s="98">
        <f>IF(Premium!$C$7="FL",IF(Premium!$C$26="No",CT28,DQ28),BR28)</f>
        <v>2.62</v>
      </c>
      <c r="W24" s="99">
        <f>IF(Premium!$C$7="FL",IF(Premium!$C$26="No",CU28,DR28),BS28)</f>
        <v>2.62</v>
      </c>
      <c r="X24" s="15"/>
      <c r="Y24" s="108">
        <f>IF(Premium!$C$7="FL",IF(Premium!$C$26="No",CV28,DS28),BT28)</f>
        <v>4.0199999999999996</v>
      </c>
      <c r="Z24" s="106">
        <f>IF(Premium!$C$7="FL",IF(Premium!$C$26="No",CW28,DT28),BU28)</f>
        <v>2.0299999999999998</v>
      </c>
      <c r="AA24" s="103">
        <f t="shared" ref="AA24:AE24" si="15">BV28</f>
        <v>4.6900000000000004</v>
      </c>
      <c r="AB24" s="106">
        <f t="shared" si="15"/>
        <v>2.41</v>
      </c>
      <c r="AC24" s="15">
        <f t="shared" si="15"/>
        <v>1.25</v>
      </c>
      <c r="AD24" s="111">
        <f t="shared" si="15"/>
        <v>0.28199999999999997</v>
      </c>
      <c r="AE24" s="112">
        <f t="shared" si="15"/>
        <v>0.10299999999999999</v>
      </c>
      <c r="AK24" s="176" t="s">
        <v>143</v>
      </c>
      <c r="AL24" s="177">
        <f ca="1">IRR(Projections!Q4:Q78)</f>
        <v>0.17154613459019008</v>
      </c>
      <c r="AM24" s="181"/>
      <c r="AN24" s="181"/>
      <c r="AY24" s="342">
        <v>49</v>
      </c>
      <c r="AZ24" s="343">
        <v>40.85</v>
      </c>
      <c r="BA24" s="345">
        <v>50.48</v>
      </c>
      <c r="BB24" s="343">
        <v>64</v>
      </c>
      <c r="BC24" s="344">
        <v>77.319999999999993</v>
      </c>
      <c r="BD24" s="343">
        <v>64</v>
      </c>
      <c r="BE24" s="344">
        <v>77.319999999999993</v>
      </c>
      <c r="BF24" s="345">
        <v>2.39</v>
      </c>
      <c r="BG24" s="346">
        <v>23.39</v>
      </c>
      <c r="BH24" s="347">
        <v>1.67</v>
      </c>
      <c r="BI24" s="348">
        <v>1.51</v>
      </c>
      <c r="BJ24" s="345">
        <v>1.51</v>
      </c>
      <c r="BK24" s="349">
        <v>2.34</v>
      </c>
      <c r="BL24" s="348">
        <v>2.2599999999999998</v>
      </c>
      <c r="BM24" s="345">
        <v>2.2599999999999998</v>
      </c>
      <c r="BN24" s="349">
        <v>1.84</v>
      </c>
      <c r="BO24" s="348">
        <v>1.66</v>
      </c>
      <c r="BP24" s="345">
        <v>1.66</v>
      </c>
      <c r="BQ24" s="348">
        <v>2.57</v>
      </c>
      <c r="BR24" s="348">
        <v>2.4900000000000002</v>
      </c>
      <c r="BS24" s="348">
        <v>2.4900000000000002</v>
      </c>
      <c r="BT24" s="347">
        <v>4.49</v>
      </c>
      <c r="BU24" s="344">
        <v>2.14</v>
      </c>
      <c r="BV24" s="347">
        <v>5.13</v>
      </c>
      <c r="BW24" s="344">
        <v>2.5499999999999998</v>
      </c>
      <c r="BX24" s="343">
        <v>1.25</v>
      </c>
      <c r="BY24" s="350">
        <v>0.33800000000000002</v>
      </c>
      <c r="BZ24" s="351">
        <v>0.12</v>
      </c>
      <c r="CC24" s="342">
        <v>49</v>
      </c>
      <c r="CD24" s="343">
        <v>53.11</v>
      </c>
      <c r="CE24" s="345">
        <v>65.62</v>
      </c>
      <c r="CF24" s="343">
        <v>90.69</v>
      </c>
      <c r="CG24" s="344">
        <v>109.57</v>
      </c>
      <c r="CH24" s="343">
        <v>90.69</v>
      </c>
      <c r="CI24" s="344">
        <v>109.57</v>
      </c>
      <c r="CJ24" s="347">
        <v>1.67</v>
      </c>
      <c r="CK24" s="348">
        <v>1.51</v>
      </c>
      <c r="CL24" s="345">
        <v>1.51</v>
      </c>
      <c r="CM24" s="349">
        <v>2.34</v>
      </c>
      <c r="CN24" s="348">
        <v>2.2599999999999998</v>
      </c>
      <c r="CO24" s="345">
        <v>2.2599999999999998</v>
      </c>
      <c r="CP24" s="349">
        <v>1.84</v>
      </c>
      <c r="CQ24" s="348">
        <v>1.66</v>
      </c>
      <c r="CR24" s="345">
        <v>1.66</v>
      </c>
      <c r="CS24" s="348">
        <v>2.57</v>
      </c>
      <c r="CT24" s="348">
        <v>2.4900000000000002</v>
      </c>
      <c r="CU24" s="348">
        <v>2.4900000000000002</v>
      </c>
      <c r="CV24" s="347">
        <v>4.49</v>
      </c>
      <c r="CW24" s="344">
        <v>2.14</v>
      </c>
      <c r="CZ24" s="342">
        <v>49</v>
      </c>
      <c r="DA24" s="343">
        <v>50.45</v>
      </c>
      <c r="DB24" s="345">
        <v>62.33</v>
      </c>
      <c r="DC24" s="343">
        <v>86.15</v>
      </c>
      <c r="DD24" s="344">
        <v>104.08</v>
      </c>
      <c r="DE24" s="343">
        <v>86.15</v>
      </c>
      <c r="DF24" s="344">
        <v>104.08</v>
      </c>
      <c r="DG24" s="347">
        <v>1.67</v>
      </c>
      <c r="DH24" s="348">
        <v>1.51</v>
      </c>
      <c r="DI24" s="345">
        <v>1.51</v>
      </c>
      <c r="DJ24" s="349">
        <v>2.34</v>
      </c>
      <c r="DK24" s="348">
        <v>2.2599999999999998</v>
      </c>
      <c r="DL24" s="345">
        <v>2.2599999999999998</v>
      </c>
      <c r="DM24" s="349">
        <v>1.84</v>
      </c>
      <c r="DN24" s="348">
        <v>1.66</v>
      </c>
      <c r="DO24" s="345">
        <v>1.66</v>
      </c>
      <c r="DP24" s="348">
        <v>2.57</v>
      </c>
      <c r="DQ24" s="348">
        <v>2.4900000000000002</v>
      </c>
      <c r="DR24" s="348">
        <v>2.4900000000000002</v>
      </c>
      <c r="DS24" s="347">
        <v>4.49</v>
      </c>
      <c r="DT24" s="344">
        <v>2.14</v>
      </c>
    </row>
    <row r="25" spans="1:124">
      <c r="A25" s="59">
        <v>54</v>
      </c>
      <c r="B25" s="473">
        <f>IF(Premium!$C$7="FL",IF(Premium!$C$26="No",CD29,DA29),AZ29)</f>
        <v>49.2</v>
      </c>
      <c r="C25" s="473">
        <f>IF(Premium!$C$7="FL",IF(Premium!$C$26="No",CE29,DB29),BA29)</f>
        <v>60.44</v>
      </c>
      <c r="D25" s="473">
        <f>IF(Premium!$C$7="FL",IF(Premium!$C$26="No",CF29,DC29),BB29)</f>
        <v>77.03</v>
      </c>
      <c r="E25" s="473">
        <f>IF(Premium!$C$7="FL",IF(Premium!$C$26="No",CG29,DD29),BC29)</f>
        <v>92.74</v>
      </c>
      <c r="F25" s="473">
        <f>IF(Premium!$C$7="FL",IF(Premium!$C$26="No",CH29,DE29),BD29)</f>
        <v>77.03</v>
      </c>
      <c r="G25" s="473">
        <f>IF(Premium!$C$7="FL",IF(Premium!$C$26="No",CI29,DF29),BE29)</f>
        <v>92.74</v>
      </c>
      <c r="H25" s="15"/>
      <c r="I25" s="92">
        <f t="shared" si="2"/>
        <v>2.23</v>
      </c>
      <c r="J25" s="93">
        <f t="shared" si="0"/>
        <v>21.79</v>
      </c>
      <c r="K25" s="60"/>
      <c r="L25" s="92">
        <f>IF(Premium!$C$7="FL",IF(Premium!$C$26="No",CJ29,DG29),BH29)</f>
        <v>1.79</v>
      </c>
      <c r="M25" s="98">
        <f>IF(Premium!$C$7="FL",IF(Premium!$C$26="No",CK29,DH29),BI29)</f>
        <v>1.58</v>
      </c>
      <c r="N25" s="106">
        <f>IF(Premium!$C$7="FL",IF(Premium!$C$26="No",CL29,DI29),BJ29)</f>
        <v>1.58</v>
      </c>
      <c r="O25" s="103">
        <f>IF(Premium!$C$7="FL",IF(Premium!$C$26="No",CM29,DJ29),BK29)</f>
        <v>2.59</v>
      </c>
      <c r="P25" s="98">
        <f>IF(Premium!$C$7="FL",IF(Premium!$C$26="No",CN29,DK29),BL29)</f>
        <v>2.41</v>
      </c>
      <c r="Q25" s="106">
        <f>IF(Premium!$C$7="FL",IF(Premium!$C$26="No",CO29,DL29),BM29)</f>
        <v>2.41</v>
      </c>
      <c r="R25" s="108">
        <f>IF(Premium!$C$7="FL",IF(Premium!$C$26="No",CP29,DM29),BN29)</f>
        <v>1.97</v>
      </c>
      <c r="S25" s="98">
        <f>IF(Premium!$C$7="FL",IF(Premium!$C$26="No",CQ29,DN29),BO29)</f>
        <v>1.74</v>
      </c>
      <c r="T25" s="106">
        <f>IF(Premium!$C$7="FL",IF(Premium!$C$26="No",CR29,DO29),BP29)</f>
        <v>1.74</v>
      </c>
      <c r="U25" s="103">
        <f>IF(Premium!$C$7="FL",IF(Premium!$C$26="No",CS29,DP29),BQ29)</f>
        <v>2.85</v>
      </c>
      <c r="V25" s="98">
        <f>IF(Premium!$C$7="FL",IF(Premium!$C$26="No",CT29,DQ29),BR29)</f>
        <v>2.65</v>
      </c>
      <c r="W25" s="99">
        <f>IF(Premium!$C$7="FL",IF(Premium!$C$26="No",CU29,DR29),BS29)</f>
        <v>2.65</v>
      </c>
      <c r="X25" s="15"/>
      <c r="Y25" s="108">
        <f>IF(Premium!$C$7="FL",IF(Premium!$C$26="No",CV29,DS29),BT29)</f>
        <v>3.9</v>
      </c>
      <c r="Z25" s="106">
        <f>IF(Premium!$C$7="FL",IF(Premium!$C$26="No",CW29,DT29),BU29)</f>
        <v>2</v>
      </c>
      <c r="AA25" s="103">
        <f t="shared" ref="AA25:AE25" si="16">BV29</f>
        <v>4.54</v>
      </c>
      <c r="AB25" s="106">
        <f t="shared" si="16"/>
        <v>2.36</v>
      </c>
      <c r="AC25" s="15">
        <f t="shared" si="16"/>
        <v>1.25</v>
      </c>
      <c r="AD25" s="111">
        <f t="shared" si="16"/>
        <v>0.27</v>
      </c>
      <c r="AE25" s="112">
        <f t="shared" si="16"/>
        <v>9.8000000000000004E-2</v>
      </c>
      <c r="AK25" s="182"/>
      <c r="AL25" s="182"/>
      <c r="AM25" s="181"/>
      <c r="AN25" s="181"/>
      <c r="AY25" s="342">
        <v>50</v>
      </c>
      <c r="AZ25" s="343">
        <v>41.88</v>
      </c>
      <c r="BA25" s="344">
        <v>51.73</v>
      </c>
      <c r="BB25" s="343">
        <v>65.64</v>
      </c>
      <c r="BC25" s="344">
        <v>79.290000000000006</v>
      </c>
      <c r="BD25" s="343">
        <v>65.64</v>
      </c>
      <c r="BE25" s="344">
        <v>79.290000000000006</v>
      </c>
      <c r="BF25" s="345">
        <v>2.34</v>
      </c>
      <c r="BG25" s="346">
        <v>22.88</v>
      </c>
      <c r="BH25" s="347">
        <v>1.68</v>
      </c>
      <c r="BI25" s="348">
        <v>1.52</v>
      </c>
      <c r="BJ25" s="345">
        <v>1.52</v>
      </c>
      <c r="BK25" s="349">
        <v>2.38</v>
      </c>
      <c r="BL25" s="348">
        <v>2.2799999999999998</v>
      </c>
      <c r="BM25" s="345">
        <v>2.2799999999999998</v>
      </c>
      <c r="BN25" s="349">
        <v>1.85</v>
      </c>
      <c r="BO25" s="348">
        <v>1.67</v>
      </c>
      <c r="BP25" s="345">
        <v>1.67</v>
      </c>
      <c r="BQ25" s="348">
        <v>2.62</v>
      </c>
      <c r="BR25" s="348">
        <v>2.5099999999999998</v>
      </c>
      <c r="BS25" s="348">
        <v>2.5099999999999998</v>
      </c>
      <c r="BT25" s="347">
        <v>4.4000000000000004</v>
      </c>
      <c r="BU25" s="344">
        <v>2.12</v>
      </c>
      <c r="BV25" s="347">
        <v>5.17</v>
      </c>
      <c r="BW25" s="344">
        <v>2.54</v>
      </c>
      <c r="BX25" s="343">
        <v>1.25</v>
      </c>
      <c r="BY25" s="350">
        <v>0.32400000000000001</v>
      </c>
      <c r="BZ25" s="351">
        <v>0.11600000000000001</v>
      </c>
      <c r="CC25" s="342">
        <v>50</v>
      </c>
      <c r="CD25" s="343">
        <v>54.44</v>
      </c>
      <c r="CE25" s="344">
        <v>67.25</v>
      </c>
      <c r="CF25" s="343">
        <v>93.01</v>
      </c>
      <c r="CG25" s="344">
        <v>112.36</v>
      </c>
      <c r="CH25" s="343">
        <v>93.01</v>
      </c>
      <c r="CI25" s="344">
        <v>112.36</v>
      </c>
      <c r="CJ25" s="347">
        <v>1.68</v>
      </c>
      <c r="CK25" s="348">
        <v>1.52</v>
      </c>
      <c r="CL25" s="345">
        <v>1.52</v>
      </c>
      <c r="CM25" s="349">
        <v>2.38</v>
      </c>
      <c r="CN25" s="348">
        <v>2.2799999999999998</v>
      </c>
      <c r="CO25" s="345">
        <v>2.2799999999999998</v>
      </c>
      <c r="CP25" s="349">
        <v>1.85</v>
      </c>
      <c r="CQ25" s="348">
        <v>1.67</v>
      </c>
      <c r="CR25" s="345">
        <v>1.67</v>
      </c>
      <c r="CS25" s="348">
        <v>2.62</v>
      </c>
      <c r="CT25" s="348">
        <v>2.5099999999999998</v>
      </c>
      <c r="CU25" s="348">
        <v>2.5099999999999998</v>
      </c>
      <c r="CV25" s="347">
        <v>4.4000000000000004</v>
      </c>
      <c r="CW25" s="344">
        <v>2.12</v>
      </c>
      <c r="CZ25" s="342">
        <v>50</v>
      </c>
      <c r="DA25" s="343">
        <v>51.71</v>
      </c>
      <c r="DB25" s="344">
        <v>63.88</v>
      </c>
      <c r="DC25" s="343">
        <v>88.36</v>
      </c>
      <c r="DD25" s="344">
        <v>106.73</v>
      </c>
      <c r="DE25" s="343">
        <v>88.36</v>
      </c>
      <c r="DF25" s="344">
        <v>106.73</v>
      </c>
      <c r="DG25" s="347">
        <v>1.68</v>
      </c>
      <c r="DH25" s="348">
        <v>1.52</v>
      </c>
      <c r="DI25" s="345">
        <v>1.52</v>
      </c>
      <c r="DJ25" s="349">
        <v>2.38</v>
      </c>
      <c r="DK25" s="348">
        <v>2.2799999999999998</v>
      </c>
      <c r="DL25" s="345">
        <v>2.2799999999999998</v>
      </c>
      <c r="DM25" s="349">
        <v>1.85</v>
      </c>
      <c r="DN25" s="348">
        <v>1.67</v>
      </c>
      <c r="DO25" s="345">
        <v>1.67</v>
      </c>
      <c r="DP25" s="348">
        <v>2.62</v>
      </c>
      <c r="DQ25" s="348">
        <v>2.5099999999999998</v>
      </c>
      <c r="DR25" s="348">
        <v>2.5099999999999998</v>
      </c>
      <c r="DS25" s="347">
        <v>4.4000000000000004</v>
      </c>
      <c r="DT25" s="344">
        <v>2.12</v>
      </c>
    </row>
    <row r="26" spans="1:124">
      <c r="A26" s="59">
        <v>55</v>
      </c>
      <c r="B26" s="473">
        <f>IF(Premium!$C$7="FL",IF(Premium!$C$26="No",CD30,DA30),AZ30)</f>
        <v>51.23</v>
      </c>
      <c r="C26" s="473">
        <f>IF(Premium!$C$7="FL",IF(Premium!$C$26="No",CE30,DB30),BA30)</f>
        <v>62.84</v>
      </c>
      <c r="D26" s="473">
        <f>IF(Premium!$C$7="FL",IF(Premium!$C$26="No",CF30,DC30),BB30)</f>
        <v>80.17</v>
      </c>
      <c r="E26" s="473">
        <f>IF(Premium!$C$7="FL",IF(Premium!$C$26="No",CG30,DD30),BC30)</f>
        <v>96.44</v>
      </c>
      <c r="F26" s="473">
        <f>IF(Premium!$C$7="FL",IF(Premium!$C$26="No",CH30,DE30),BD30)</f>
        <v>80.17</v>
      </c>
      <c r="G26" s="473">
        <f>IF(Premium!$C$7="FL",IF(Premium!$C$26="No",CI30,DF30),BE30)</f>
        <v>96.44</v>
      </c>
      <c r="H26" s="15"/>
      <c r="I26" s="92">
        <f t="shared" si="2"/>
        <v>2.2000000000000002</v>
      </c>
      <c r="J26" s="93">
        <f t="shared" si="0"/>
        <v>21.52</v>
      </c>
      <c r="K26" s="60"/>
      <c r="L26" s="92">
        <f>IF(Premium!$C$7="FL",IF(Premium!$C$26="No",CJ30,DG30),BH30)</f>
        <v>1.82</v>
      </c>
      <c r="M26" s="98">
        <f>IF(Premium!$C$7="FL",IF(Premium!$C$26="No",CK30,DH30),BI30)</f>
        <v>1.6</v>
      </c>
      <c r="N26" s="106">
        <f>IF(Premium!$C$7="FL",IF(Premium!$C$26="No",CL30,DI30),BJ30)</f>
        <v>1.6</v>
      </c>
      <c r="O26" s="103">
        <f>IF(Premium!$C$7="FL",IF(Premium!$C$26="No",CM30,DJ30),BK30)</f>
        <v>2.64</v>
      </c>
      <c r="P26" s="98">
        <f>IF(Premium!$C$7="FL",IF(Premium!$C$26="No",CN30,DK30),BL30)</f>
        <v>2.4500000000000002</v>
      </c>
      <c r="Q26" s="106">
        <f>IF(Premium!$C$7="FL",IF(Premium!$C$26="No",CO30,DL30),BM30)</f>
        <v>2.4500000000000002</v>
      </c>
      <c r="R26" s="108">
        <f>IF(Premium!$C$7="FL",IF(Premium!$C$26="No",CP30,DM30),BN30)</f>
        <v>2</v>
      </c>
      <c r="S26" s="98">
        <f>IF(Premium!$C$7="FL",IF(Premium!$C$26="No",CQ30,DN30),BO30)</f>
        <v>1.76</v>
      </c>
      <c r="T26" s="106">
        <f>IF(Premium!$C$7="FL",IF(Premium!$C$26="No",CR30,DO30),BP30)</f>
        <v>1.76</v>
      </c>
      <c r="U26" s="103">
        <f>IF(Premium!$C$7="FL",IF(Premium!$C$26="No",CS30,DP30),BQ30)</f>
        <v>2.9</v>
      </c>
      <c r="V26" s="98">
        <f>IF(Premium!$C$7="FL",IF(Premium!$C$26="No",CT30,DQ30),BR30)</f>
        <v>2.7</v>
      </c>
      <c r="W26" s="99">
        <f>IF(Premium!$C$7="FL",IF(Premium!$C$26="No",CU30,DR30),BS30)</f>
        <v>2.7</v>
      </c>
      <c r="X26" s="15"/>
      <c r="Y26" s="108">
        <f>IF(Premium!$C$7="FL",IF(Premium!$C$26="No",CV30,DS30),BT30)</f>
        <v>3.79</v>
      </c>
      <c r="Z26" s="106">
        <f>IF(Premium!$C$7="FL",IF(Premium!$C$26="No",CW30,DT30),BU30)</f>
        <v>1.98</v>
      </c>
      <c r="AA26" s="103">
        <f t="shared" ref="AA26:AE26" si="17">BV30</f>
        <v>4.3899999999999997</v>
      </c>
      <c r="AB26" s="106">
        <f t="shared" si="17"/>
        <v>2.3199999999999998</v>
      </c>
      <c r="AC26" s="15">
        <f t="shared" si="17"/>
        <v>1.25</v>
      </c>
      <c r="AD26" s="111">
        <f t="shared" si="17"/>
        <v>0.25800000000000001</v>
      </c>
      <c r="AE26" s="112">
        <f t="shared" si="17"/>
        <v>9.5000000000000001E-2</v>
      </c>
      <c r="AK26" s="181"/>
      <c r="AL26" s="181"/>
      <c r="AM26" s="181"/>
      <c r="AN26" s="181"/>
      <c r="AY26" s="342">
        <v>51</v>
      </c>
      <c r="AZ26" s="343">
        <v>43.6</v>
      </c>
      <c r="BA26" s="344">
        <v>53.78</v>
      </c>
      <c r="BB26" s="343">
        <v>68.319999999999993</v>
      </c>
      <c r="BC26" s="344">
        <v>82.46</v>
      </c>
      <c r="BD26" s="343">
        <v>68.319999999999993</v>
      </c>
      <c r="BE26" s="344">
        <v>82.46</v>
      </c>
      <c r="BF26" s="345">
        <v>2.31</v>
      </c>
      <c r="BG26" s="346">
        <v>22.6</v>
      </c>
      <c r="BH26" s="347">
        <v>1.7</v>
      </c>
      <c r="BI26" s="348">
        <v>1.54</v>
      </c>
      <c r="BJ26" s="345">
        <v>1.54</v>
      </c>
      <c r="BK26" s="349">
        <v>2.42</v>
      </c>
      <c r="BL26" s="348">
        <v>2.3199999999999998</v>
      </c>
      <c r="BM26" s="345">
        <v>2.3199999999999998</v>
      </c>
      <c r="BN26" s="349">
        <v>1.87</v>
      </c>
      <c r="BO26" s="348">
        <v>1.69</v>
      </c>
      <c r="BP26" s="345">
        <v>1.69</v>
      </c>
      <c r="BQ26" s="348">
        <v>2.66</v>
      </c>
      <c r="BR26" s="348">
        <v>2.5499999999999998</v>
      </c>
      <c r="BS26" s="348">
        <v>2.5499999999999998</v>
      </c>
      <c r="BT26" s="347">
        <v>4.2699999999999996</v>
      </c>
      <c r="BU26" s="344">
        <v>2.09</v>
      </c>
      <c r="BV26" s="347">
        <v>5</v>
      </c>
      <c r="BW26" s="344">
        <v>2.4900000000000002</v>
      </c>
      <c r="BX26" s="343">
        <v>1.25</v>
      </c>
      <c r="BY26" s="350">
        <v>0.31</v>
      </c>
      <c r="BZ26" s="351">
        <v>0.111</v>
      </c>
      <c r="CC26" s="342">
        <v>51</v>
      </c>
      <c r="CD26" s="343">
        <v>56.68</v>
      </c>
      <c r="CE26" s="344">
        <v>69.91</v>
      </c>
      <c r="CF26" s="343">
        <v>96.81</v>
      </c>
      <c r="CG26" s="344">
        <v>116.85</v>
      </c>
      <c r="CH26" s="343">
        <v>96.81</v>
      </c>
      <c r="CI26" s="344">
        <v>116.85</v>
      </c>
      <c r="CJ26" s="347">
        <v>1.7</v>
      </c>
      <c r="CK26" s="348">
        <v>1.54</v>
      </c>
      <c r="CL26" s="345">
        <v>1.54</v>
      </c>
      <c r="CM26" s="349">
        <v>2.42</v>
      </c>
      <c r="CN26" s="348">
        <v>2.3199999999999998</v>
      </c>
      <c r="CO26" s="345">
        <v>2.3199999999999998</v>
      </c>
      <c r="CP26" s="349">
        <v>1.87</v>
      </c>
      <c r="CQ26" s="348">
        <v>1.69</v>
      </c>
      <c r="CR26" s="345">
        <v>1.69</v>
      </c>
      <c r="CS26" s="348">
        <v>2.66</v>
      </c>
      <c r="CT26" s="348">
        <v>2.5499999999999998</v>
      </c>
      <c r="CU26" s="348">
        <v>2.5499999999999998</v>
      </c>
      <c r="CV26" s="347">
        <v>4.2699999999999996</v>
      </c>
      <c r="CW26" s="344">
        <v>2.09</v>
      </c>
      <c r="CZ26" s="342">
        <v>51</v>
      </c>
      <c r="DA26" s="343">
        <v>53.84</v>
      </c>
      <c r="DB26" s="344">
        <v>66.41</v>
      </c>
      <c r="DC26" s="343">
        <v>91.96</v>
      </c>
      <c r="DD26" s="344">
        <v>111.01</v>
      </c>
      <c r="DE26" s="343">
        <v>91.96</v>
      </c>
      <c r="DF26" s="344">
        <v>111.01</v>
      </c>
      <c r="DG26" s="347">
        <v>1.7</v>
      </c>
      <c r="DH26" s="348">
        <v>1.54</v>
      </c>
      <c r="DI26" s="345">
        <v>1.54</v>
      </c>
      <c r="DJ26" s="349">
        <v>2.42</v>
      </c>
      <c r="DK26" s="348">
        <v>2.3199999999999998</v>
      </c>
      <c r="DL26" s="345">
        <v>2.3199999999999998</v>
      </c>
      <c r="DM26" s="349">
        <v>1.87</v>
      </c>
      <c r="DN26" s="348">
        <v>1.69</v>
      </c>
      <c r="DO26" s="345">
        <v>1.69</v>
      </c>
      <c r="DP26" s="348">
        <v>2.66</v>
      </c>
      <c r="DQ26" s="348">
        <v>2.5499999999999998</v>
      </c>
      <c r="DR26" s="348">
        <v>2.5499999999999998</v>
      </c>
      <c r="DS26" s="347">
        <v>4.2699999999999996</v>
      </c>
      <c r="DT26" s="344">
        <v>2.09</v>
      </c>
    </row>
    <row r="27" spans="1:124">
      <c r="A27" s="59">
        <v>56</v>
      </c>
      <c r="B27" s="473">
        <f>IF(Premium!$C$7="FL",IF(Premium!$C$26="No",CD31,DA31),AZ31)</f>
        <v>53.33</v>
      </c>
      <c r="C27" s="473">
        <f>IF(Premium!$C$7="FL",IF(Premium!$C$26="No",CE31,DB31),BA31)</f>
        <v>65.34</v>
      </c>
      <c r="D27" s="473">
        <f>IF(Premium!$C$7="FL",IF(Premium!$C$26="No",CF31,DC31),BB31)</f>
        <v>83.44</v>
      </c>
      <c r="E27" s="473">
        <f>IF(Premium!$C$7="FL",IF(Premium!$C$26="No",CG31,DD31),BC31)</f>
        <v>100.3</v>
      </c>
      <c r="F27" s="473">
        <f>IF(Premium!$C$7="FL",IF(Premium!$C$26="No",CH31,DE31),BD31)</f>
        <v>83.44</v>
      </c>
      <c r="G27" s="473">
        <f>IF(Premium!$C$7="FL",IF(Premium!$C$26="No",CI31,DF31),BE31)</f>
        <v>100.3</v>
      </c>
      <c r="H27" s="15"/>
      <c r="I27" s="92">
        <f t="shared" si="2"/>
        <v>2.17</v>
      </c>
      <c r="J27" s="93">
        <f t="shared" si="0"/>
        <v>21.26</v>
      </c>
      <c r="K27" s="60"/>
      <c r="L27" s="92">
        <f>IF(Premium!$C$7="FL",IF(Premium!$C$26="No",CJ31,DG31),BH31)</f>
        <v>1.85</v>
      </c>
      <c r="M27" s="98">
        <f>IF(Premium!$C$7="FL",IF(Premium!$C$26="No",CK31,DH31),BI31)</f>
        <v>1.61</v>
      </c>
      <c r="N27" s="106">
        <f>IF(Premium!$C$7="FL",IF(Premium!$C$26="No",CL31,DI31),BJ31)</f>
        <v>1.61</v>
      </c>
      <c r="O27" s="103">
        <f>IF(Premium!$C$7="FL",IF(Premium!$C$26="No",CM31,DJ31),BK31)</f>
        <v>2.7</v>
      </c>
      <c r="P27" s="98">
        <f>IF(Premium!$C$7="FL",IF(Premium!$C$26="No",CN31,DK31),BL31)</f>
        <v>2.48</v>
      </c>
      <c r="Q27" s="106">
        <f>IF(Premium!$C$7="FL",IF(Premium!$C$26="No",CO31,DL31),BM31)</f>
        <v>2.48</v>
      </c>
      <c r="R27" s="108">
        <f>IF(Premium!$C$7="FL",IF(Premium!$C$26="No",CP31,DM31),BN31)</f>
        <v>2.04</v>
      </c>
      <c r="S27" s="98">
        <f>IF(Premium!$C$7="FL",IF(Premium!$C$26="No",CQ31,DN31),BO31)</f>
        <v>1.77</v>
      </c>
      <c r="T27" s="106">
        <f>IF(Premium!$C$7="FL",IF(Premium!$C$26="No",CR31,DO31),BP31)</f>
        <v>1.77</v>
      </c>
      <c r="U27" s="103">
        <f>IF(Premium!$C$7="FL",IF(Premium!$C$26="No",CS31,DP31),BQ31)</f>
        <v>2.97</v>
      </c>
      <c r="V27" s="98">
        <f>IF(Premium!$C$7="FL",IF(Premium!$C$26="No",CT31,DQ31),BR31)</f>
        <v>2.73</v>
      </c>
      <c r="W27" s="99">
        <f>IF(Premium!$C$7="FL",IF(Premium!$C$26="No",CU31,DR31),BS31)</f>
        <v>2.73</v>
      </c>
      <c r="X27" s="15"/>
      <c r="Y27" s="108">
        <f>IF(Premium!$C$7="FL",IF(Premium!$C$26="No",CV31,DS31),BT31)</f>
        <v>3.68</v>
      </c>
      <c r="Z27" s="106">
        <f>IF(Premium!$C$7="FL",IF(Premium!$C$26="No",CW31,DT31),BU31)</f>
        <v>1.95</v>
      </c>
      <c r="AA27" s="103">
        <f t="shared" ref="AA27:AE27" si="18">BV31</f>
        <v>4.25</v>
      </c>
      <c r="AB27" s="106">
        <f t="shared" si="18"/>
        <v>2.2799999999999998</v>
      </c>
      <c r="AC27" s="15">
        <f t="shared" si="18"/>
        <v>1.25</v>
      </c>
      <c r="AD27" s="111">
        <f t="shared" si="18"/>
        <v>0.246</v>
      </c>
      <c r="AE27" s="112">
        <f t="shared" si="18"/>
        <v>9.0999999999999998E-2</v>
      </c>
      <c r="AK27" s="176" t="s">
        <v>177</v>
      </c>
      <c r="AL27" s="179">
        <f>IF(AND(Premium!$C$16="No",Premium!$C$10="Comp"),$AL$28+IF(AND(OR(Premium!$C$9="Joint",Premium!$C$9="Individual Plus Additional Insured"),Premium!$C$19="Yes"),LEFT(Premium!$C$18,1),0),Premium!$G7-Premium!$C$8)</f>
        <v>25</v>
      </c>
      <c r="AM27" s="181"/>
      <c r="AN27" s="181"/>
      <c r="AY27" s="342">
        <v>52</v>
      </c>
      <c r="AZ27" s="343">
        <v>45.39</v>
      </c>
      <c r="BA27" s="345">
        <v>55.92</v>
      </c>
      <c r="BB27" s="343">
        <v>71.11</v>
      </c>
      <c r="BC27" s="344">
        <v>85.75</v>
      </c>
      <c r="BD27" s="343">
        <v>71.11</v>
      </c>
      <c r="BE27" s="344">
        <v>85.75</v>
      </c>
      <c r="BF27" s="345">
        <v>2.2799999999999998</v>
      </c>
      <c r="BG27" s="346">
        <v>22.33</v>
      </c>
      <c r="BH27" s="347">
        <v>1.74</v>
      </c>
      <c r="BI27" s="348">
        <v>1.55</v>
      </c>
      <c r="BJ27" s="345">
        <v>1.55</v>
      </c>
      <c r="BK27" s="349">
        <v>2.48</v>
      </c>
      <c r="BL27" s="348">
        <v>2.34</v>
      </c>
      <c r="BM27" s="345">
        <v>2.34</v>
      </c>
      <c r="BN27" s="349">
        <v>1.91</v>
      </c>
      <c r="BO27" s="348">
        <v>1.71</v>
      </c>
      <c r="BP27" s="345">
        <v>1.71</v>
      </c>
      <c r="BQ27" s="348">
        <v>2.73</v>
      </c>
      <c r="BR27" s="348">
        <v>2.57</v>
      </c>
      <c r="BS27" s="348">
        <v>2.57</v>
      </c>
      <c r="BT27" s="347">
        <v>4.1399999999999997</v>
      </c>
      <c r="BU27" s="344">
        <v>2.06</v>
      </c>
      <c r="BV27" s="347">
        <v>4.84</v>
      </c>
      <c r="BW27" s="344">
        <v>2.4500000000000002</v>
      </c>
      <c r="BX27" s="343">
        <v>1.25</v>
      </c>
      <c r="BY27" s="350">
        <v>0.29599999999999999</v>
      </c>
      <c r="BZ27" s="351">
        <v>0.107</v>
      </c>
      <c r="CC27" s="342">
        <v>52</v>
      </c>
      <c r="CD27" s="343">
        <v>59.01</v>
      </c>
      <c r="CE27" s="345">
        <v>72.7</v>
      </c>
      <c r="CF27" s="343">
        <v>100.76</v>
      </c>
      <c r="CG27" s="344">
        <v>121.51</v>
      </c>
      <c r="CH27" s="343">
        <v>100.76</v>
      </c>
      <c r="CI27" s="344">
        <v>121.51</v>
      </c>
      <c r="CJ27" s="347">
        <v>1.74</v>
      </c>
      <c r="CK27" s="348">
        <v>1.55</v>
      </c>
      <c r="CL27" s="345">
        <v>1.55</v>
      </c>
      <c r="CM27" s="349">
        <v>2.48</v>
      </c>
      <c r="CN27" s="348">
        <v>2.34</v>
      </c>
      <c r="CO27" s="345">
        <v>2.34</v>
      </c>
      <c r="CP27" s="349">
        <v>1.91</v>
      </c>
      <c r="CQ27" s="348">
        <v>1.71</v>
      </c>
      <c r="CR27" s="345">
        <v>1.71</v>
      </c>
      <c r="CS27" s="348">
        <v>2.73</v>
      </c>
      <c r="CT27" s="348">
        <v>2.57</v>
      </c>
      <c r="CU27" s="348">
        <v>2.57</v>
      </c>
      <c r="CV27" s="347">
        <v>4.1399999999999997</v>
      </c>
      <c r="CW27" s="344">
        <v>2.06</v>
      </c>
      <c r="CZ27" s="342">
        <v>52</v>
      </c>
      <c r="DA27" s="343">
        <v>56.05</v>
      </c>
      <c r="DB27" s="345">
        <v>69.06</v>
      </c>
      <c r="DC27" s="343">
        <v>95.71</v>
      </c>
      <c r="DD27" s="344">
        <v>115.43</v>
      </c>
      <c r="DE27" s="343">
        <v>95.71</v>
      </c>
      <c r="DF27" s="344">
        <v>115.43</v>
      </c>
      <c r="DG27" s="347">
        <v>1.74</v>
      </c>
      <c r="DH27" s="348">
        <v>1.55</v>
      </c>
      <c r="DI27" s="345">
        <v>1.55</v>
      </c>
      <c r="DJ27" s="349">
        <v>2.48</v>
      </c>
      <c r="DK27" s="348">
        <v>2.34</v>
      </c>
      <c r="DL27" s="345">
        <v>2.34</v>
      </c>
      <c r="DM27" s="349">
        <v>1.91</v>
      </c>
      <c r="DN27" s="348">
        <v>1.71</v>
      </c>
      <c r="DO27" s="345">
        <v>1.71</v>
      </c>
      <c r="DP27" s="348">
        <v>2.73</v>
      </c>
      <c r="DQ27" s="348">
        <v>2.57</v>
      </c>
      <c r="DR27" s="348">
        <v>2.57</v>
      </c>
      <c r="DS27" s="347">
        <v>4.1399999999999997</v>
      </c>
      <c r="DT27" s="344">
        <v>2.06</v>
      </c>
    </row>
    <row r="28" spans="1:124">
      <c r="A28" s="59">
        <v>57</v>
      </c>
      <c r="B28" s="473">
        <f>IF(Premium!$C$7="FL",IF(Premium!$C$26="No",CD32,DA32),AZ32)</f>
        <v>55.53</v>
      </c>
      <c r="C28" s="473">
        <f>IF(Premium!$C$7="FL",IF(Premium!$C$26="No",CE32,DB32),BA32)</f>
        <v>67.930000000000007</v>
      </c>
      <c r="D28" s="473">
        <f>IF(Premium!$C$7="FL",IF(Premium!$C$26="No",CF32,DC32),BB32)</f>
        <v>86.85</v>
      </c>
      <c r="E28" s="473">
        <f>IF(Premium!$C$7="FL",IF(Premium!$C$26="No",CG32,DD32),BC32)</f>
        <v>104.3</v>
      </c>
      <c r="F28" s="473">
        <f>IF(Premium!$C$7="FL",IF(Premium!$C$26="No",CH32,DE32),BD32)</f>
        <v>86.85</v>
      </c>
      <c r="G28" s="473">
        <f>IF(Premium!$C$7="FL",IF(Premium!$C$26="No",CI32,DF32),BE32)</f>
        <v>104.3</v>
      </c>
      <c r="H28" s="15"/>
      <c r="I28" s="92">
        <f t="shared" si="2"/>
        <v>2.15</v>
      </c>
      <c r="J28" s="93">
        <f t="shared" si="0"/>
        <v>21</v>
      </c>
      <c r="K28" s="60"/>
      <c r="L28" s="92">
        <f>IF(Premium!$C$7="FL",IF(Premium!$C$26="No",CJ32,DG32),BH32)</f>
        <v>1.87</v>
      </c>
      <c r="M28" s="98">
        <f>IF(Premium!$C$7="FL",IF(Premium!$C$26="No",CK32,DH32),BI32)</f>
        <v>1.62</v>
      </c>
      <c r="N28" s="106">
        <f>IF(Premium!$C$7="FL",IF(Premium!$C$26="No",CL32,DI32),BJ32)</f>
        <v>1.62</v>
      </c>
      <c r="O28" s="103">
        <f>IF(Premium!$C$7="FL",IF(Premium!$C$26="No",CM32,DJ32),BK32)</f>
        <v>2.76</v>
      </c>
      <c r="P28" s="98">
        <f>IF(Premium!$C$7="FL",IF(Premium!$C$26="No",CN32,DK32),BL32)</f>
        <v>2.52</v>
      </c>
      <c r="Q28" s="106">
        <f>IF(Premium!$C$7="FL",IF(Premium!$C$26="No",CO32,DL32),BM32)</f>
        <v>2.52</v>
      </c>
      <c r="R28" s="108">
        <f>IF(Premium!$C$7="FL",IF(Premium!$C$26="No",CP32,DM32),BN32)</f>
        <v>2.06</v>
      </c>
      <c r="S28" s="98">
        <f>IF(Premium!$C$7="FL",IF(Premium!$C$26="No",CQ32,DN32),BO32)</f>
        <v>1.78</v>
      </c>
      <c r="T28" s="106">
        <f>IF(Premium!$C$7="FL",IF(Premium!$C$26="No",CR32,DO32),BP32)</f>
        <v>1.78</v>
      </c>
      <c r="U28" s="103">
        <f>IF(Premium!$C$7="FL",IF(Premium!$C$26="No",CS32,DP32),BQ32)</f>
        <v>3.04</v>
      </c>
      <c r="V28" s="98">
        <f>IF(Premium!$C$7="FL",IF(Premium!$C$26="No",CT32,DQ32),BR32)</f>
        <v>2.77</v>
      </c>
      <c r="W28" s="99">
        <f>IF(Premium!$C$7="FL",IF(Premium!$C$26="No",CU32,DR32),BS32)</f>
        <v>2.77</v>
      </c>
      <c r="X28" s="15"/>
      <c r="Y28" s="108">
        <f>IF(Premium!$C$7="FL",IF(Premium!$C$26="No",CV32,DS32),BT32)</f>
        <v>3.57</v>
      </c>
      <c r="Z28" s="106">
        <f>IF(Premium!$C$7="FL",IF(Premium!$C$26="No",CW32,DT32),BU32)</f>
        <v>1.92</v>
      </c>
      <c r="AA28" s="103">
        <f t="shared" ref="AA28:AE28" si="19">BV32</f>
        <v>4.1100000000000003</v>
      </c>
      <c r="AB28" s="106">
        <f t="shared" si="19"/>
        <v>2.2400000000000002</v>
      </c>
      <c r="AC28" s="15">
        <f t="shared" si="19"/>
        <v>1.25</v>
      </c>
      <c r="AD28" s="111">
        <f t="shared" si="19"/>
        <v>0.23499999999999999</v>
      </c>
      <c r="AE28" s="112">
        <f t="shared" si="19"/>
        <v>8.6999999999999994E-2</v>
      </c>
      <c r="AK28" s="176" t="s">
        <v>178</v>
      </c>
      <c r="AL28" s="179">
        <f>IF(Premium!$C$18="Lifetime",Premium!$G$8,Premium!G7-Premium!$C$8+LEFT(Premium!$C$18,1))</f>
        <v>30</v>
      </c>
      <c r="AM28" s="181"/>
      <c r="AN28" s="181"/>
      <c r="AY28" s="342">
        <v>53</v>
      </c>
      <c r="AZ28" s="343">
        <v>47.26</v>
      </c>
      <c r="BA28" s="345">
        <v>58.14</v>
      </c>
      <c r="BB28" s="343">
        <v>74.010000000000005</v>
      </c>
      <c r="BC28" s="344">
        <v>89.18</v>
      </c>
      <c r="BD28" s="343">
        <v>74.010000000000005</v>
      </c>
      <c r="BE28" s="344">
        <v>89.18</v>
      </c>
      <c r="BF28" s="345">
        <v>2.2599999999999998</v>
      </c>
      <c r="BG28" s="346">
        <v>22.05</v>
      </c>
      <c r="BH28" s="347">
        <v>1.76</v>
      </c>
      <c r="BI28" s="348">
        <v>1.56</v>
      </c>
      <c r="BJ28" s="345">
        <v>1.56</v>
      </c>
      <c r="BK28" s="349">
        <v>2.5299999999999998</v>
      </c>
      <c r="BL28" s="348">
        <v>2.38</v>
      </c>
      <c r="BM28" s="345">
        <v>2.38</v>
      </c>
      <c r="BN28" s="349">
        <v>1.94</v>
      </c>
      <c r="BO28" s="348">
        <v>1.72</v>
      </c>
      <c r="BP28" s="345">
        <v>1.72</v>
      </c>
      <c r="BQ28" s="348">
        <v>2.78</v>
      </c>
      <c r="BR28" s="348">
        <v>2.62</v>
      </c>
      <c r="BS28" s="348">
        <v>2.62</v>
      </c>
      <c r="BT28" s="347">
        <v>4.0199999999999996</v>
      </c>
      <c r="BU28" s="344">
        <v>2.0299999999999998</v>
      </c>
      <c r="BV28" s="347">
        <v>4.6900000000000004</v>
      </c>
      <c r="BW28" s="344">
        <v>2.41</v>
      </c>
      <c r="BX28" s="343">
        <v>1.25</v>
      </c>
      <c r="BY28" s="350">
        <v>0.28199999999999997</v>
      </c>
      <c r="BZ28" s="351">
        <v>0.10299999999999999</v>
      </c>
      <c r="CC28" s="342">
        <v>53</v>
      </c>
      <c r="CD28" s="343">
        <v>61.44</v>
      </c>
      <c r="CE28" s="345">
        <v>75.58</v>
      </c>
      <c r="CF28" s="343">
        <v>104.87</v>
      </c>
      <c r="CG28" s="344">
        <v>126.36</v>
      </c>
      <c r="CH28" s="343">
        <v>104.87</v>
      </c>
      <c r="CI28" s="344">
        <v>126.36</v>
      </c>
      <c r="CJ28" s="347">
        <v>1.76</v>
      </c>
      <c r="CK28" s="348">
        <v>1.56</v>
      </c>
      <c r="CL28" s="345">
        <v>1.56</v>
      </c>
      <c r="CM28" s="349">
        <v>2.5299999999999998</v>
      </c>
      <c r="CN28" s="348">
        <v>2.38</v>
      </c>
      <c r="CO28" s="345">
        <v>2.38</v>
      </c>
      <c r="CP28" s="349">
        <v>1.94</v>
      </c>
      <c r="CQ28" s="348">
        <v>1.72</v>
      </c>
      <c r="CR28" s="345">
        <v>1.72</v>
      </c>
      <c r="CS28" s="348">
        <v>2.78</v>
      </c>
      <c r="CT28" s="348">
        <v>2.62</v>
      </c>
      <c r="CU28" s="348">
        <v>2.62</v>
      </c>
      <c r="CV28" s="347">
        <v>4.0199999999999996</v>
      </c>
      <c r="CW28" s="344">
        <v>2.0299999999999998</v>
      </c>
      <c r="CZ28" s="342">
        <v>53</v>
      </c>
      <c r="DA28" s="343">
        <v>58.36</v>
      </c>
      <c r="DB28" s="345">
        <v>71.8</v>
      </c>
      <c r="DC28" s="343">
        <v>99.62</v>
      </c>
      <c r="DD28" s="344">
        <v>120.04</v>
      </c>
      <c r="DE28" s="343">
        <v>99.62</v>
      </c>
      <c r="DF28" s="344">
        <v>120.04</v>
      </c>
      <c r="DG28" s="347">
        <v>1.76</v>
      </c>
      <c r="DH28" s="348">
        <v>1.56</v>
      </c>
      <c r="DI28" s="345">
        <v>1.56</v>
      </c>
      <c r="DJ28" s="349">
        <v>2.5299999999999998</v>
      </c>
      <c r="DK28" s="348">
        <v>2.38</v>
      </c>
      <c r="DL28" s="345">
        <v>2.38</v>
      </c>
      <c r="DM28" s="349">
        <v>1.94</v>
      </c>
      <c r="DN28" s="348">
        <v>1.72</v>
      </c>
      <c r="DO28" s="345">
        <v>1.72</v>
      </c>
      <c r="DP28" s="348">
        <v>2.78</v>
      </c>
      <c r="DQ28" s="348">
        <v>2.62</v>
      </c>
      <c r="DR28" s="348">
        <v>2.62</v>
      </c>
      <c r="DS28" s="347">
        <v>4.0199999999999996</v>
      </c>
      <c r="DT28" s="344">
        <v>2.0299999999999998</v>
      </c>
    </row>
    <row r="29" spans="1:124">
      <c r="A29" s="59">
        <v>58</v>
      </c>
      <c r="B29" s="473">
        <f>IF(Premium!$C$7="FL",IF(Premium!$C$26="No",CD33,DA33),AZ33)</f>
        <v>57.81</v>
      </c>
      <c r="C29" s="473">
        <f>IF(Premium!$C$7="FL",IF(Premium!$C$26="No",CE33,DB33),BA33)</f>
        <v>70.62</v>
      </c>
      <c r="D29" s="473">
        <f>IF(Premium!$C$7="FL",IF(Premium!$C$26="No",CF33,DC33),BB33)</f>
        <v>90.39</v>
      </c>
      <c r="E29" s="473">
        <f>IF(Premium!$C$7="FL",IF(Premium!$C$26="No",CG33,DD33),BC33)</f>
        <v>108.47</v>
      </c>
      <c r="F29" s="473">
        <f>IF(Premium!$C$7="FL",IF(Premium!$C$26="No",CH33,DE33),BD33)</f>
        <v>90.39</v>
      </c>
      <c r="G29" s="473">
        <f>IF(Premium!$C$7="FL",IF(Premium!$C$26="No",CI33,DF33),BE33)</f>
        <v>108.47</v>
      </c>
      <c r="H29" s="15"/>
      <c r="I29" s="92">
        <f t="shared" si="2"/>
        <v>2.12</v>
      </c>
      <c r="J29" s="93">
        <f t="shared" si="0"/>
        <v>20.74</v>
      </c>
      <c r="K29" s="60"/>
      <c r="L29" s="92">
        <f>IF(Premium!$C$7="FL",IF(Premium!$C$26="No",CJ33,DG33),BH33)</f>
        <v>1.91</v>
      </c>
      <c r="M29" s="98">
        <f>IF(Premium!$C$7="FL",IF(Premium!$C$26="No",CK33,DH33),BI33)</f>
        <v>1.64</v>
      </c>
      <c r="N29" s="106">
        <f>IF(Premium!$C$7="FL",IF(Premium!$C$26="No",CL33,DI33),BJ33)</f>
        <v>1.64</v>
      </c>
      <c r="O29" s="103">
        <f>IF(Premium!$C$7="FL",IF(Premium!$C$26="No",CM33,DJ33),BK33)</f>
        <v>2.82</v>
      </c>
      <c r="P29" s="98">
        <f>IF(Premium!$C$7="FL",IF(Premium!$C$26="No",CN33,DK33),BL33)</f>
        <v>2.56</v>
      </c>
      <c r="Q29" s="106">
        <f>IF(Premium!$C$7="FL",IF(Premium!$C$26="No",CO33,DL33),BM33)</f>
        <v>2.56</v>
      </c>
      <c r="R29" s="108">
        <f>IF(Premium!$C$7="FL",IF(Premium!$C$26="No",CP33,DM33),BN33)</f>
        <v>2.1</v>
      </c>
      <c r="S29" s="98">
        <f>IF(Premium!$C$7="FL",IF(Premium!$C$26="No",CQ33,DN33),BO33)</f>
        <v>1.8</v>
      </c>
      <c r="T29" s="106">
        <f>IF(Premium!$C$7="FL",IF(Premium!$C$26="No",CR33,DO33),BP33)</f>
        <v>1.8</v>
      </c>
      <c r="U29" s="103">
        <f>IF(Premium!$C$7="FL",IF(Premium!$C$26="No",CS33,DP33),BQ33)</f>
        <v>3.1</v>
      </c>
      <c r="V29" s="98">
        <f>IF(Premium!$C$7="FL",IF(Premium!$C$26="No",CT33,DQ33),BR33)</f>
        <v>2.82</v>
      </c>
      <c r="W29" s="99">
        <f>IF(Premium!$C$7="FL",IF(Premium!$C$26="No",CU33,DR33),BS33)</f>
        <v>2.82</v>
      </c>
      <c r="X29" s="15"/>
      <c r="Y29" s="108">
        <f>IF(Premium!$C$7="FL",IF(Premium!$C$26="No",CV33,DS33),BT33)</f>
        <v>3.46</v>
      </c>
      <c r="Z29" s="106">
        <f>IF(Premium!$C$7="FL",IF(Premium!$C$26="No",CW33,DT33),BU33)</f>
        <v>1.89</v>
      </c>
      <c r="AA29" s="103">
        <f t="shared" ref="AA29:AE29" si="20">BV33</f>
        <v>3.98</v>
      </c>
      <c r="AB29" s="106">
        <f t="shared" si="20"/>
        <v>2.2000000000000002</v>
      </c>
      <c r="AC29" s="15">
        <f t="shared" si="20"/>
        <v>1.25</v>
      </c>
      <c r="AD29" s="111">
        <f t="shared" si="20"/>
        <v>0.22500000000000001</v>
      </c>
      <c r="AE29" s="112">
        <f t="shared" si="20"/>
        <v>8.4000000000000005E-2</v>
      </c>
      <c r="AK29" s="181"/>
      <c r="AL29" s="181"/>
      <c r="AM29" s="181"/>
      <c r="AN29" s="181"/>
      <c r="AY29" s="342">
        <v>54</v>
      </c>
      <c r="AZ29" s="343">
        <v>49.2</v>
      </c>
      <c r="BA29" s="345">
        <v>60.44</v>
      </c>
      <c r="BB29" s="343">
        <v>77.03</v>
      </c>
      <c r="BC29" s="344">
        <v>92.74</v>
      </c>
      <c r="BD29" s="343">
        <v>77.03</v>
      </c>
      <c r="BE29" s="344">
        <v>92.74</v>
      </c>
      <c r="BF29" s="345">
        <v>2.23</v>
      </c>
      <c r="BG29" s="346">
        <v>21.79</v>
      </c>
      <c r="BH29" s="347">
        <v>1.79</v>
      </c>
      <c r="BI29" s="348">
        <v>1.58</v>
      </c>
      <c r="BJ29" s="345">
        <v>1.58</v>
      </c>
      <c r="BK29" s="349">
        <v>2.59</v>
      </c>
      <c r="BL29" s="348">
        <v>2.41</v>
      </c>
      <c r="BM29" s="345">
        <v>2.41</v>
      </c>
      <c r="BN29" s="349">
        <v>1.97</v>
      </c>
      <c r="BO29" s="348">
        <v>1.74</v>
      </c>
      <c r="BP29" s="345">
        <v>1.74</v>
      </c>
      <c r="BQ29" s="348">
        <v>2.85</v>
      </c>
      <c r="BR29" s="348">
        <v>2.65</v>
      </c>
      <c r="BS29" s="348">
        <v>2.65</v>
      </c>
      <c r="BT29" s="347">
        <v>3.9</v>
      </c>
      <c r="BU29" s="344">
        <v>2</v>
      </c>
      <c r="BV29" s="347">
        <v>4.54</v>
      </c>
      <c r="BW29" s="344">
        <v>2.36</v>
      </c>
      <c r="BX29" s="343">
        <v>1.25</v>
      </c>
      <c r="BY29" s="350">
        <v>0.27</v>
      </c>
      <c r="BZ29" s="351">
        <v>9.8000000000000004E-2</v>
      </c>
      <c r="CC29" s="342">
        <v>54</v>
      </c>
      <c r="CD29" s="343">
        <v>63.96</v>
      </c>
      <c r="CE29" s="345">
        <v>78.569999999999993</v>
      </c>
      <c r="CF29" s="343">
        <v>109.15</v>
      </c>
      <c r="CG29" s="344">
        <v>131.41</v>
      </c>
      <c r="CH29" s="343">
        <v>109.15</v>
      </c>
      <c r="CI29" s="344">
        <v>131.41</v>
      </c>
      <c r="CJ29" s="347">
        <v>1.79</v>
      </c>
      <c r="CK29" s="348">
        <v>1.58</v>
      </c>
      <c r="CL29" s="345">
        <v>1.58</v>
      </c>
      <c r="CM29" s="349">
        <v>2.59</v>
      </c>
      <c r="CN29" s="348">
        <v>2.41</v>
      </c>
      <c r="CO29" s="345">
        <v>2.41</v>
      </c>
      <c r="CP29" s="349">
        <v>1.97</v>
      </c>
      <c r="CQ29" s="348">
        <v>1.74</v>
      </c>
      <c r="CR29" s="345">
        <v>1.74</v>
      </c>
      <c r="CS29" s="348">
        <v>2.85</v>
      </c>
      <c r="CT29" s="348">
        <v>2.65</v>
      </c>
      <c r="CU29" s="348">
        <v>2.65</v>
      </c>
      <c r="CV29" s="347">
        <v>3.9</v>
      </c>
      <c r="CW29" s="344">
        <v>2</v>
      </c>
      <c r="CZ29" s="342">
        <v>54</v>
      </c>
      <c r="DA29" s="343">
        <v>60.76</v>
      </c>
      <c r="DB29" s="345">
        <v>74.64</v>
      </c>
      <c r="DC29" s="343">
        <v>103.69</v>
      </c>
      <c r="DD29" s="344">
        <v>124.84</v>
      </c>
      <c r="DE29" s="343">
        <v>103.69</v>
      </c>
      <c r="DF29" s="344">
        <v>124.84</v>
      </c>
      <c r="DG29" s="347">
        <v>1.79</v>
      </c>
      <c r="DH29" s="348">
        <v>1.58</v>
      </c>
      <c r="DI29" s="345">
        <v>1.58</v>
      </c>
      <c r="DJ29" s="349">
        <v>2.59</v>
      </c>
      <c r="DK29" s="348">
        <v>2.41</v>
      </c>
      <c r="DL29" s="345">
        <v>2.41</v>
      </c>
      <c r="DM29" s="349">
        <v>1.97</v>
      </c>
      <c r="DN29" s="348">
        <v>1.74</v>
      </c>
      <c r="DO29" s="345">
        <v>1.74</v>
      </c>
      <c r="DP29" s="348">
        <v>2.85</v>
      </c>
      <c r="DQ29" s="348">
        <v>2.65</v>
      </c>
      <c r="DR29" s="348">
        <v>2.65</v>
      </c>
      <c r="DS29" s="347">
        <v>3.9</v>
      </c>
      <c r="DT29" s="344">
        <v>2</v>
      </c>
    </row>
    <row r="30" spans="1:124">
      <c r="A30" s="59">
        <v>59</v>
      </c>
      <c r="B30" s="473">
        <f>IF(Premium!$C$7="FL",IF(Premium!$C$26="No",CD34,DA34),AZ34)</f>
        <v>60.19</v>
      </c>
      <c r="C30" s="473">
        <f>IF(Premium!$C$7="FL",IF(Premium!$C$26="No",CE34,DB34),BA34)</f>
        <v>73.430000000000007</v>
      </c>
      <c r="D30" s="473">
        <f>IF(Premium!$C$7="FL",IF(Premium!$C$26="No",CF34,DC34),BB34)</f>
        <v>94.08</v>
      </c>
      <c r="E30" s="473">
        <f>IF(Premium!$C$7="FL",IF(Premium!$C$26="No",CG34,DD34),BC34)</f>
        <v>112.8</v>
      </c>
      <c r="F30" s="473">
        <f>IF(Premium!$C$7="FL",IF(Premium!$C$26="No",CH34,DE34),BD34)</f>
        <v>94.08</v>
      </c>
      <c r="G30" s="473">
        <f>IF(Premium!$C$7="FL",IF(Premium!$C$26="No",CI34,DF34),BE34)</f>
        <v>112.8</v>
      </c>
      <c r="H30" s="15"/>
      <c r="I30" s="92">
        <f t="shared" si="2"/>
        <v>2.1</v>
      </c>
      <c r="J30" s="93">
        <f t="shared" si="0"/>
        <v>20.49</v>
      </c>
      <c r="K30" s="60"/>
      <c r="L30" s="92">
        <f>IF(Premium!$C$7="FL",IF(Premium!$C$26="No",CJ34,DG34),BH34)</f>
        <v>1.93</v>
      </c>
      <c r="M30" s="98">
        <f>IF(Premium!$C$7="FL",IF(Premium!$C$26="No",CK34,DH34),BI34)</f>
        <v>1.66</v>
      </c>
      <c r="N30" s="106">
        <f>IF(Premium!$C$7="FL",IF(Premium!$C$26="No",CL34,DI34),BJ34)</f>
        <v>1.66</v>
      </c>
      <c r="O30" s="103">
        <f>IF(Premium!$C$7="FL",IF(Premium!$C$26="No",CM34,DJ34),BK34)</f>
        <v>2.88</v>
      </c>
      <c r="P30" s="98">
        <f>IF(Premium!$C$7="FL",IF(Premium!$C$26="No",CN34,DK34),BL34)</f>
        <v>2.59</v>
      </c>
      <c r="Q30" s="106">
        <f>IF(Premium!$C$7="FL",IF(Premium!$C$26="No",CO34,DL34),BM34)</f>
        <v>2.59</v>
      </c>
      <c r="R30" s="108">
        <f>IF(Premium!$C$7="FL",IF(Premium!$C$26="No",CP34,DM34),BN34)</f>
        <v>2.12</v>
      </c>
      <c r="S30" s="98">
        <f>IF(Premium!$C$7="FL",IF(Premium!$C$26="No",CQ34,DN34),BO34)</f>
        <v>1.83</v>
      </c>
      <c r="T30" s="106">
        <f>IF(Premium!$C$7="FL",IF(Premium!$C$26="No",CR34,DO34),BP34)</f>
        <v>1.83</v>
      </c>
      <c r="U30" s="103">
        <f>IF(Premium!$C$7="FL",IF(Premium!$C$26="No",CS34,DP34),BQ34)</f>
        <v>3.17</v>
      </c>
      <c r="V30" s="98">
        <f>IF(Premium!$C$7="FL",IF(Premium!$C$26="No",CT34,DQ34),BR34)</f>
        <v>2.85</v>
      </c>
      <c r="W30" s="99">
        <f>IF(Premium!$C$7="FL",IF(Premium!$C$26="No",CU34,DR34),BS34)</f>
        <v>2.85</v>
      </c>
      <c r="X30" s="15"/>
      <c r="Y30" s="108">
        <f>IF(Premium!$C$7="FL",IF(Premium!$C$26="No",CV34,DS34),BT34)</f>
        <v>3.36</v>
      </c>
      <c r="Z30" s="106">
        <f>IF(Premium!$C$7="FL",IF(Premium!$C$26="No",CW34,DT34),BU34)</f>
        <v>1.87</v>
      </c>
      <c r="AA30" s="103">
        <f t="shared" ref="AA30:AE30" si="21">BV34</f>
        <v>3.85</v>
      </c>
      <c r="AB30" s="106">
        <f t="shared" si="21"/>
        <v>2.16</v>
      </c>
      <c r="AC30" s="15">
        <f t="shared" si="21"/>
        <v>1.25</v>
      </c>
      <c r="AD30" s="111">
        <f t="shared" si="21"/>
        <v>0.215</v>
      </c>
      <c r="AE30" s="112">
        <f t="shared" si="21"/>
        <v>0.08</v>
      </c>
      <c r="AK30" s="174" t="s">
        <v>153</v>
      </c>
      <c r="AM30" s="181"/>
      <c r="AN30" s="181"/>
      <c r="AY30" s="342">
        <v>55</v>
      </c>
      <c r="AZ30" s="343">
        <v>51.23</v>
      </c>
      <c r="BA30" s="345">
        <v>62.84</v>
      </c>
      <c r="BB30" s="343">
        <v>80.17</v>
      </c>
      <c r="BC30" s="344">
        <v>96.44</v>
      </c>
      <c r="BD30" s="343">
        <v>80.17</v>
      </c>
      <c r="BE30" s="344">
        <v>96.44</v>
      </c>
      <c r="BF30" s="345">
        <v>2.2000000000000002</v>
      </c>
      <c r="BG30" s="346">
        <v>21.52</v>
      </c>
      <c r="BH30" s="347">
        <v>1.82</v>
      </c>
      <c r="BI30" s="348">
        <v>1.6</v>
      </c>
      <c r="BJ30" s="345">
        <v>1.6</v>
      </c>
      <c r="BK30" s="349">
        <v>2.64</v>
      </c>
      <c r="BL30" s="348">
        <v>2.4500000000000002</v>
      </c>
      <c r="BM30" s="345">
        <v>2.4500000000000002</v>
      </c>
      <c r="BN30" s="349">
        <v>2</v>
      </c>
      <c r="BO30" s="348">
        <v>1.76</v>
      </c>
      <c r="BP30" s="345">
        <v>1.76</v>
      </c>
      <c r="BQ30" s="348">
        <v>2.9</v>
      </c>
      <c r="BR30" s="348">
        <v>2.7</v>
      </c>
      <c r="BS30" s="348">
        <v>2.7</v>
      </c>
      <c r="BT30" s="347">
        <v>3.79</v>
      </c>
      <c r="BU30" s="344">
        <v>1.98</v>
      </c>
      <c r="BV30" s="347">
        <v>4.3899999999999997</v>
      </c>
      <c r="BW30" s="344">
        <v>2.3199999999999998</v>
      </c>
      <c r="BX30" s="343">
        <v>1.25</v>
      </c>
      <c r="BY30" s="350">
        <v>0.25800000000000001</v>
      </c>
      <c r="BZ30" s="351">
        <v>9.5000000000000001E-2</v>
      </c>
      <c r="CC30" s="342">
        <v>55</v>
      </c>
      <c r="CD30" s="343">
        <v>66.599999999999994</v>
      </c>
      <c r="CE30" s="345">
        <v>81.69</v>
      </c>
      <c r="CF30" s="343">
        <v>113.6</v>
      </c>
      <c r="CG30" s="344">
        <v>136.65</v>
      </c>
      <c r="CH30" s="343">
        <v>113.6</v>
      </c>
      <c r="CI30" s="344">
        <v>136.65</v>
      </c>
      <c r="CJ30" s="347">
        <v>1.82</v>
      </c>
      <c r="CK30" s="348">
        <v>1.6</v>
      </c>
      <c r="CL30" s="345">
        <v>1.6</v>
      </c>
      <c r="CM30" s="349">
        <v>2.64</v>
      </c>
      <c r="CN30" s="348">
        <v>2.4500000000000002</v>
      </c>
      <c r="CO30" s="345">
        <v>2.4500000000000002</v>
      </c>
      <c r="CP30" s="349">
        <v>2</v>
      </c>
      <c r="CQ30" s="348">
        <v>1.76</v>
      </c>
      <c r="CR30" s="345">
        <v>1.76</v>
      </c>
      <c r="CS30" s="348">
        <v>2.9</v>
      </c>
      <c r="CT30" s="348">
        <v>2.7</v>
      </c>
      <c r="CU30" s="348">
        <v>2.7</v>
      </c>
      <c r="CV30" s="347">
        <v>3.79</v>
      </c>
      <c r="CW30" s="344">
        <v>1.98</v>
      </c>
      <c r="CZ30" s="342">
        <v>55</v>
      </c>
      <c r="DA30" s="343">
        <v>63.27</v>
      </c>
      <c r="DB30" s="345">
        <v>77.599999999999994</v>
      </c>
      <c r="DC30" s="343">
        <v>107.91</v>
      </c>
      <c r="DD30" s="344">
        <v>129.82</v>
      </c>
      <c r="DE30" s="343">
        <v>107.91</v>
      </c>
      <c r="DF30" s="344">
        <v>129.82</v>
      </c>
      <c r="DG30" s="347">
        <v>1.82</v>
      </c>
      <c r="DH30" s="348">
        <v>1.6</v>
      </c>
      <c r="DI30" s="345">
        <v>1.6</v>
      </c>
      <c r="DJ30" s="349">
        <v>2.64</v>
      </c>
      <c r="DK30" s="348">
        <v>2.4500000000000002</v>
      </c>
      <c r="DL30" s="345">
        <v>2.4500000000000002</v>
      </c>
      <c r="DM30" s="349">
        <v>2</v>
      </c>
      <c r="DN30" s="348">
        <v>1.76</v>
      </c>
      <c r="DO30" s="345">
        <v>1.76</v>
      </c>
      <c r="DP30" s="348">
        <v>2.9</v>
      </c>
      <c r="DQ30" s="348">
        <v>2.7</v>
      </c>
      <c r="DR30" s="348">
        <v>2.7</v>
      </c>
      <c r="DS30" s="347">
        <v>3.79</v>
      </c>
      <c r="DT30" s="344">
        <v>1.98</v>
      </c>
    </row>
    <row r="31" spans="1:124">
      <c r="A31" s="59">
        <v>60</v>
      </c>
      <c r="B31" s="473">
        <f>IF(Premium!$C$7="FL",IF(Premium!$C$26="No",CD35,DA35),AZ35)</f>
        <v>62.66</v>
      </c>
      <c r="C31" s="473">
        <f>IF(Premium!$C$7="FL",IF(Premium!$C$26="No",CE35,DB35),BA35)</f>
        <v>76.34</v>
      </c>
      <c r="D31" s="473">
        <f>IF(Premium!$C$7="FL",IF(Premium!$C$26="No",CF35,DC35),BB35)</f>
        <v>97.92</v>
      </c>
      <c r="E31" s="473">
        <f>IF(Premium!$C$7="FL",IF(Premium!$C$26="No",CG35,DD35),BC35)</f>
        <v>117.31</v>
      </c>
      <c r="F31" s="473">
        <f>IF(Premium!$C$7="FL",IF(Premium!$C$26="No",CH35,DE35),BD35)</f>
        <v>97.92</v>
      </c>
      <c r="G31" s="473">
        <f>IF(Premium!$C$7="FL",IF(Premium!$C$26="No",CI35,DF35),BE35)</f>
        <v>117.31</v>
      </c>
      <c r="H31" s="15"/>
      <c r="I31" s="92">
        <f t="shared" si="2"/>
        <v>2.0699999999999998</v>
      </c>
      <c r="J31" s="93">
        <f t="shared" si="0"/>
        <v>20.239999999999998</v>
      </c>
      <c r="K31" s="60"/>
      <c r="L31" s="92">
        <f>IF(Premium!$C$7="FL",IF(Premium!$C$26="No",CJ35,DG35),BH35)</f>
        <v>1.97</v>
      </c>
      <c r="M31" s="98">
        <f>IF(Premium!$C$7="FL",IF(Premium!$C$26="No",CK35,DH35),BI35)</f>
        <v>1.67</v>
      </c>
      <c r="N31" s="106">
        <f>IF(Premium!$C$7="FL",IF(Premium!$C$26="No",CL35,DI35),BJ35)</f>
        <v>1.67</v>
      </c>
      <c r="O31" s="103">
        <f>IF(Premium!$C$7="FL",IF(Premium!$C$26="No",CM35,DJ35),BK35)</f>
        <v>2.94</v>
      </c>
      <c r="P31" s="98">
        <f>IF(Premium!$C$7="FL",IF(Premium!$C$26="No",CN35,DK35),BL35)</f>
        <v>2.63</v>
      </c>
      <c r="Q31" s="106">
        <f>IF(Premium!$C$7="FL",IF(Premium!$C$26="No",CO35,DL35),BM35)</f>
        <v>2.63</v>
      </c>
      <c r="R31" s="108">
        <f>IF(Premium!$C$7="FL",IF(Premium!$C$26="No",CP35,DM35),BN35)</f>
        <v>2.17</v>
      </c>
      <c r="S31" s="98">
        <f>IF(Premium!$C$7="FL",IF(Premium!$C$26="No",CQ35,DN35),BO35)</f>
        <v>1.84</v>
      </c>
      <c r="T31" s="106">
        <f>IF(Premium!$C$7="FL",IF(Premium!$C$26="No",CR35,DO35),BP35)</f>
        <v>1.84</v>
      </c>
      <c r="U31" s="103">
        <f>IF(Premium!$C$7="FL",IF(Premium!$C$26="No",CS35,DP35),BQ35)</f>
        <v>3.23</v>
      </c>
      <c r="V31" s="98">
        <f>IF(Premium!$C$7="FL",IF(Premium!$C$26="No",CT35,DQ35),BR35)</f>
        <v>2.89</v>
      </c>
      <c r="W31" s="99">
        <f>IF(Premium!$C$7="FL",IF(Premium!$C$26="No",CU35,DR35),BS35)</f>
        <v>2.89</v>
      </c>
      <c r="X31" s="15"/>
      <c r="Y31" s="108">
        <f>IF(Premium!$C$7="FL",IF(Premium!$C$26="No",CV35,DS35),BT35)</f>
        <v>3.26</v>
      </c>
      <c r="Z31" s="106">
        <f>IF(Premium!$C$7="FL",IF(Premium!$C$26="No",CW35,DT35),BU35)</f>
        <v>1.84</v>
      </c>
      <c r="AA31" s="103">
        <f t="shared" ref="AA31:AE31" si="22">BV35</f>
        <v>3.73</v>
      </c>
      <c r="AB31" s="106">
        <f t="shared" si="22"/>
        <v>2.12</v>
      </c>
      <c r="AC31" s="15">
        <f t="shared" si="22"/>
        <v>1.25</v>
      </c>
      <c r="AD31" s="111">
        <f t="shared" si="22"/>
        <v>0.20499999999999999</v>
      </c>
      <c r="AE31" s="112">
        <f t="shared" si="22"/>
        <v>7.6999999999999999E-2</v>
      </c>
      <c r="AK31" s="176" t="s">
        <v>139</v>
      </c>
      <c r="AL31" s="176" t="s">
        <v>139</v>
      </c>
      <c r="AM31" s="179" t="s">
        <v>155</v>
      </c>
      <c r="AN31" s="179" t="s">
        <v>160</v>
      </c>
      <c r="AY31" s="342">
        <v>56</v>
      </c>
      <c r="AZ31" s="343">
        <v>53.33</v>
      </c>
      <c r="BA31" s="345">
        <v>65.34</v>
      </c>
      <c r="BB31" s="343">
        <v>83.44</v>
      </c>
      <c r="BC31" s="344">
        <v>100.3</v>
      </c>
      <c r="BD31" s="343">
        <v>83.44</v>
      </c>
      <c r="BE31" s="344">
        <v>100.3</v>
      </c>
      <c r="BF31" s="345">
        <v>2.17</v>
      </c>
      <c r="BG31" s="346">
        <v>21.26</v>
      </c>
      <c r="BH31" s="347">
        <v>1.85</v>
      </c>
      <c r="BI31" s="348">
        <v>1.61</v>
      </c>
      <c r="BJ31" s="345">
        <v>1.61</v>
      </c>
      <c r="BK31" s="349">
        <v>2.7</v>
      </c>
      <c r="BL31" s="348">
        <v>2.48</v>
      </c>
      <c r="BM31" s="345">
        <v>2.48</v>
      </c>
      <c r="BN31" s="349">
        <v>2.04</v>
      </c>
      <c r="BO31" s="348">
        <v>1.77</v>
      </c>
      <c r="BP31" s="345">
        <v>1.77</v>
      </c>
      <c r="BQ31" s="348">
        <v>2.97</v>
      </c>
      <c r="BR31" s="348">
        <v>2.73</v>
      </c>
      <c r="BS31" s="348">
        <v>2.73</v>
      </c>
      <c r="BT31" s="347">
        <v>3.68</v>
      </c>
      <c r="BU31" s="344">
        <v>1.95</v>
      </c>
      <c r="BV31" s="347">
        <v>4.25</v>
      </c>
      <c r="BW31" s="344">
        <v>2.2799999999999998</v>
      </c>
      <c r="BX31" s="343">
        <v>1.25</v>
      </c>
      <c r="BY31" s="350">
        <v>0.246</v>
      </c>
      <c r="BZ31" s="351">
        <v>9.0999999999999998E-2</v>
      </c>
      <c r="CC31" s="342">
        <v>56</v>
      </c>
      <c r="CD31" s="343">
        <v>69.33</v>
      </c>
      <c r="CE31" s="345">
        <v>84.94</v>
      </c>
      <c r="CF31" s="343">
        <v>118.23</v>
      </c>
      <c r="CG31" s="344">
        <v>142.13</v>
      </c>
      <c r="CH31" s="343">
        <v>118.23</v>
      </c>
      <c r="CI31" s="344">
        <v>142.13</v>
      </c>
      <c r="CJ31" s="347">
        <v>1.85</v>
      </c>
      <c r="CK31" s="348">
        <v>1.61</v>
      </c>
      <c r="CL31" s="345">
        <v>1.61</v>
      </c>
      <c r="CM31" s="349">
        <v>2.7</v>
      </c>
      <c r="CN31" s="348">
        <v>2.48</v>
      </c>
      <c r="CO31" s="345">
        <v>2.48</v>
      </c>
      <c r="CP31" s="349">
        <v>2.04</v>
      </c>
      <c r="CQ31" s="348">
        <v>1.77</v>
      </c>
      <c r="CR31" s="345">
        <v>1.77</v>
      </c>
      <c r="CS31" s="348">
        <v>2.97</v>
      </c>
      <c r="CT31" s="348">
        <v>2.73</v>
      </c>
      <c r="CU31" s="348">
        <v>2.73</v>
      </c>
      <c r="CV31" s="347">
        <v>3.68</v>
      </c>
      <c r="CW31" s="344">
        <v>1.95</v>
      </c>
      <c r="CZ31" s="342">
        <v>56</v>
      </c>
      <c r="DA31" s="343">
        <v>65.86</v>
      </c>
      <c r="DB31" s="345">
        <v>80.69</v>
      </c>
      <c r="DC31" s="343">
        <v>112.31</v>
      </c>
      <c r="DD31" s="344">
        <v>135.02000000000001</v>
      </c>
      <c r="DE31" s="343">
        <v>112.31</v>
      </c>
      <c r="DF31" s="344">
        <v>135.02000000000001</v>
      </c>
      <c r="DG31" s="347">
        <v>1.85</v>
      </c>
      <c r="DH31" s="348">
        <v>1.61</v>
      </c>
      <c r="DI31" s="345">
        <v>1.61</v>
      </c>
      <c r="DJ31" s="349">
        <v>2.7</v>
      </c>
      <c r="DK31" s="348">
        <v>2.48</v>
      </c>
      <c r="DL31" s="345">
        <v>2.48</v>
      </c>
      <c r="DM31" s="349">
        <v>2.04</v>
      </c>
      <c r="DN31" s="348">
        <v>1.77</v>
      </c>
      <c r="DO31" s="345">
        <v>1.77</v>
      </c>
      <c r="DP31" s="348">
        <v>2.97</v>
      </c>
      <c r="DQ31" s="348">
        <v>2.73</v>
      </c>
      <c r="DR31" s="348">
        <v>2.73</v>
      </c>
      <c r="DS31" s="347">
        <v>3.68</v>
      </c>
      <c r="DT31" s="344">
        <v>1.95</v>
      </c>
    </row>
    <row r="32" spans="1:124">
      <c r="A32" s="59">
        <v>61</v>
      </c>
      <c r="B32" s="473">
        <f>IF(Premium!$C$7="FL",IF(Premium!$C$26="No",CD36,DA36),AZ36)</f>
        <v>67.97</v>
      </c>
      <c r="C32" s="473">
        <f>IF(Premium!$C$7="FL",IF(Premium!$C$26="No",CE36,DB36),BA36)</f>
        <v>82.56</v>
      </c>
      <c r="D32" s="473">
        <f>IF(Premium!$C$7="FL",IF(Premium!$C$26="No",CF36,DC36),BB36)</f>
        <v>105.89</v>
      </c>
      <c r="E32" s="473">
        <f>IF(Premium!$C$7="FL",IF(Premium!$C$26="No",CG36,DD36),BC36)</f>
        <v>126.61</v>
      </c>
      <c r="F32" s="473">
        <f>IF(Premium!$C$7="FL",IF(Premium!$C$26="No",CH36,DE36),BD36)</f>
        <v>105.89</v>
      </c>
      <c r="G32" s="473">
        <f>IF(Premium!$C$7="FL",IF(Premium!$C$26="No",CI36,DF36),BE36)</f>
        <v>126.61</v>
      </c>
      <c r="H32" s="15"/>
      <c r="I32" s="92">
        <f t="shared" si="2"/>
        <v>2.04</v>
      </c>
      <c r="J32" s="93">
        <f t="shared" si="0"/>
        <v>19.600000000000001</v>
      </c>
      <c r="K32" s="60"/>
      <c r="L32" s="92">
        <f>IF(Premium!$C$7="FL",IF(Premium!$C$26="No",CJ36,DG36),BH36)</f>
        <v>2.0699999999999998</v>
      </c>
      <c r="M32" s="98">
        <f>IF(Premium!$C$7="FL",IF(Premium!$C$26="No",CK36,DH36),BI36)</f>
        <v>1.68</v>
      </c>
      <c r="N32" s="106">
        <f>IF(Premium!$C$7="FL",IF(Premium!$C$26="No",CL36,DI36),BJ36)</f>
        <v>1.68</v>
      </c>
      <c r="O32" s="103">
        <f>IF(Premium!$C$7="FL",IF(Premium!$C$26="No",CM36,DJ36),BK36)</f>
        <v>3.12</v>
      </c>
      <c r="P32" s="98">
        <f>IF(Premium!$C$7="FL",IF(Premium!$C$26="No",CN36,DK36),BL36)</f>
        <v>2.67</v>
      </c>
      <c r="Q32" s="106">
        <f>IF(Premium!$C$7="FL",IF(Premium!$C$26="No",CO36,DL36),BM36)</f>
        <v>2.67</v>
      </c>
      <c r="R32" s="108">
        <f>IF(Premium!$C$7="FL",IF(Premium!$C$26="No",CP36,DM36),BN36)</f>
        <v>2.2799999999999998</v>
      </c>
      <c r="S32" s="98">
        <f>IF(Premium!$C$7="FL",IF(Premium!$C$26="No",CQ36,DN36),BO36)</f>
        <v>1.85</v>
      </c>
      <c r="T32" s="106">
        <f>IF(Premium!$C$7="FL",IF(Premium!$C$26="No",CR36,DO36),BP36)</f>
        <v>1.85</v>
      </c>
      <c r="U32" s="103">
        <f>IF(Premium!$C$7="FL",IF(Premium!$C$26="No",CS36,DP36),BQ36)</f>
        <v>3.43</v>
      </c>
      <c r="V32" s="98">
        <f>IF(Premium!$C$7="FL",IF(Premium!$C$26="No",CT36,DQ36),BR36)</f>
        <v>2.94</v>
      </c>
      <c r="W32" s="99">
        <f>IF(Premium!$C$7="FL",IF(Premium!$C$26="No",CU36,DR36),BS36)</f>
        <v>2.94</v>
      </c>
      <c r="X32" s="15"/>
      <c r="Y32" s="108">
        <f>IF(Premium!$C$7="FL",IF(Premium!$C$26="No",CV36,DS36),BT36)</f>
        <v>3.08</v>
      </c>
      <c r="Z32" s="106">
        <f>IF(Premium!$C$7="FL",IF(Premium!$C$26="No",CW36,DT36),BU36)</f>
        <v>1.79</v>
      </c>
      <c r="AA32" s="103">
        <f t="shared" ref="AA32:AE32" si="23">BV36</f>
        <v>3.52</v>
      </c>
      <c r="AB32" s="106">
        <f t="shared" si="23"/>
        <v>2.06</v>
      </c>
      <c r="AC32" s="15">
        <f t="shared" si="23"/>
        <v>1.25</v>
      </c>
      <c r="AD32" s="111">
        <f t="shared" si="23"/>
        <v>0.19400000000000001</v>
      </c>
      <c r="AE32" s="112">
        <f t="shared" si="23"/>
        <v>7.1999999999999995E-2</v>
      </c>
      <c r="AK32" s="176">
        <v>41</v>
      </c>
      <c r="AL32" s="176" t="str">
        <f>AK32&amp;"-"&amp;AK33-1</f>
        <v>41-50</v>
      </c>
      <c r="AM32" s="183">
        <v>770</v>
      </c>
      <c r="AN32" s="183">
        <v>730</v>
      </c>
      <c r="AY32" s="342">
        <v>57</v>
      </c>
      <c r="AZ32" s="343">
        <v>55.53</v>
      </c>
      <c r="BA32" s="345">
        <v>67.930000000000007</v>
      </c>
      <c r="BB32" s="343">
        <v>86.85</v>
      </c>
      <c r="BC32" s="344">
        <v>104.3</v>
      </c>
      <c r="BD32" s="343">
        <v>86.85</v>
      </c>
      <c r="BE32" s="344">
        <v>104.3</v>
      </c>
      <c r="BF32" s="345">
        <v>2.15</v>
      </c>
      <c r="BG32" s="346">
        <v>21</v>
      </c>
      <c r="BH32" s="347">
        <v>1.87</v>
      </c>
      <c r="BI32" s="348">
        <v>1.62</v>
      </c>
      <c r="BJ32" s="345">
        <v>1.62</v>
      </c>
      <c r="BK32" s="349">
        <v>2.76</v>
      </c>
      <c r="BL32" s="348">
        <v>2.52</v>
      </c>
      <c r="BM32" s="345">
        <v>2.52</v>
      </c>
      <c r="BN32" s="349">
        <v>2.06</v>
      </c>
      <c r="BO32" s="348">
        <v>1.78</v>
      </c>
      <c r="BP32" s="345">
        <v>1.78</v>
      </c>
      <c r="BQ32" s="348">
        <v>3.04</v>
      </c>
      <c r="BR32" s="348">
        <v>2.77</v>
      </c>
      <c r="BS32" s="348">
        <v>2.77</v>
      </c>
      <c r="BT32" s="347">
        <v>3.57</v>
      </c>
      <c r="BU32" s="344">
        <v>1.92</v>
      </c>
      <c r="BV32" s="347">
        <v>4.1100000000000003</v>
      </c>
      <c r="BW32" s="344">
        <v>2.2400000000000002</v>
      </c>
      <c r="BX32" s="343">
        <v>1.25</v>
      </c>
      <c r="BY32" s="350">
        <v>0.23499999999999999</v>
      </c>
      <c r="BZ32" s="351">
        <v>8.6999999999999994E-2</v>
      </c>
      <c r="CC32" s="342">
        <v>57</v>
      </c>
      <c r="CD32" s="343">
        <v>72.19</v>
      </c>
      <c r="CE32" s="345">
        <v>88.31</v>
      </c>
      <c r="CF32" s="343">
        <v>123.07</v>
      </c>
      <c r="CG32" s="344">
        <v>147.79</v>
      </c>
      <c r="CH32" s="343">
        <v>123.07</v>
      </c>
      <c r="CI32" s="344">
        <v>147.79</v>
      </c>
      <c r="CJ32" s="347">
        <v>1.87</v>
      </c>
      <c r="CK32" s="348">
        <v>1.62</v>
      </c>
      <c r="CL32" s="345">
        <v>1.62</v>
      </c>
      <c r="CM32" s="349">
        <v>2.76</v>
      </c>
      <c r="CN32" s="348">
        <v>2.52</v>
      </c>
      <c r="CO32" s="345">
        <v>2.52</v>
      </c>
      <c r="CP32" s="349">
        <v>2.06</v>
      </c>
      <c r="CQ32" s="348">
        <v>1.78</v>
      </c>
      <c r="CR32" s="345">
        <v>1.78</v>
      </c>
      <c r="CS32" s="348">
        <v>3.04</v>
      </c>
      <c r="CT32" s="348">
        <v>2.77</v>
      </c>
      <c r="CU32" s="348">
        <v>2.77</v>
      </c>
      <c r="CV32" s="347">
        <v>3.57</v>
      </c>
      <c r="CW32" s="344">
        <v>1.92</v>
      </c>
      <c r="CZ32" s="342">
        <v>57</v>
      </c>
      <c r="DA32" s="343">
        <v>68.58</v>
      </c>
      <c r="DB32" s="345">
        <v>83.89</v>
      </c>
      <c r="DC32" s="343">
        <v>116.91</v>
      </c>
      <c r="DD32" s="344">
        <v>140.4</v>
      </c>
      <c r="DE32" s="343">
        <v>116.91</v>
      </c>
      <c r="DF32" s="344">
        <v>140.4</v>
      </c>
      <c r="DG32" s="347">
        <v>1.87</v>
      </c>
      <c r="DH32" s="348">
        <v>1.62</v>
      </c>
      <c r="DI32" s="345">
        <v>1.62</v>
      </c>
      <c r="DJ32" s="349">
        <v>2.76</v>
      </c>
      <c r="DK32" s="348">
        <v>2.52</v>
      </c>
      <c r="DL32" s="345">
        <v>2.52</v>
      </c>
      <c r="DM32" s="349">
        <v>2.06</v>
      </c>
      <c r="DN32" s="348">
        <v>1.78</v>
      </c>
      <c r="DO32" s="345">
        <v>1.78</v>
      </c>
      <c r="DP32" s="348">
        <v>3.04</v>
      </c>
      <c r="DQ32" s="348">
        <v>2.77</v>
      </c>
      <c r="DR32" s="348">
        <v>2.77</v>
      </c>
      <c r="DS32" s="347">
        <v>3.57</v>
      </c>
      <c r="DT32" s="344">
        <v>1.92</v>
      </c>
    </row>
    <row r="33" spans="1:124">
      <c r="A33" s="59">
        <v>62</v>
      </c>
      <c r="B33" s="473">
        <f>IF(Premium!$C$7="FL",IF(Premium!$C$26="No",CD37,DA37),AZ37)</f>
        <v>73.73</v>
      </c>
      <c r="C33" s="473">
        <f>IF(Premium!$C$7="FL",IF(Premium!$C$26="No",CE37,DB37),BA37)</f>
        <v>89.3</v>
      </c>
      <c r="D33" s="473">
        <f>IF(Premium!$C$7="FL",IF(Premium!$C$26="No",CF37,DC37),BB37)</f>
        <v>114.51</v>
      </c>
      <c r="E33" s="473">
        <f>IF(Premium!$C$7="FL",IF(Premium!$C$26="No",CG37,DD37),BC37)</f>
        <v>136.63999999999999</v>
      </c>
      <c r="F33" s="473">
        <f>IF(Premium!$C$7="FL",IF(Premium!$C$26="No",CH37,DE37),BD37)</f>
        <v>114.51</v>
      </c>
      <c r="G33" s="473">
        <f>IF(Premium!$C$7="FL",IF(Premium!$C$26="No",CI37,DF37),BE37)</f>
        <v>136.63999999999999</v>
      </c>
      <c r="H33" s="15"/>
      <c r="I33" s="92">
        <f t="shared" si="2"/>
        <v>2</v>
      </c>
      <c r="J33" s="93">
        <f t="shared" si="0"/>
        <v>18.989999999999998</v>
      </c>
      <c r="K33" s="60"/>
      <c r="L33" s="92">
        <f>IF(Premium!$C$7="FL",IF(Premium!$C$26="No",CJ37,DG37),BH37)</f>
        <v>2.17</v>
      </c>
      <c r="M33" s="98">
        <f>IF(Premium!$C$7="FL",IF(Premium!$C$26="No",CK37,DH37),BI37)</f>
        <v>1.68</v>
      </c>
      <c r="N33" s="106">
        <f>IF(Premium!$C$7="FL",IF(Premium!$C$26="No",CL37,DI37),BJ37)</f>
        <v>1.68</v>
      </c>
      <c r="O33" s="103">
        <f>IF(Premium!$C$7="FL",IF(Premium!$C$26="No",CM37,DJ37),BK37)</f>
        <v>3.3</v>
      </c>
      <c r="P33" s="98">
        <f>IF(Premium!$C$7="FL",IF(Premium!$C$26="No",CN37,DK37),BL37)</f>
        <v>2.7</v>
      </c>
      <c r="Q33" s="106">
        <f>IF(Premium!$C$7="FL",IF(Premium!$C$26="No",CO37,DL37),BM37)</f>
        <v>2.7</v>
      </c>
      <c r="R33" s="108">
        <f>IF(Premium!$C$7="FL",IF(Premium!$C$26="No",CP37,DM37),BN37)</f>
        <v>2.39</v>
      </c>
      <c r="S33" s="98">
        <f>IF(Premium!$C$7="FL",IF(Premium!$C$26="No",CQ37,DN37),BO37)</f>
        <v>1.85</v>
      </c>
      <c r="T33" s="106">
        <f>IF(Premium!$C$7="FL",IF(Premium!$C$26="No",CR37,DO37),BP37)</f>
        <v>1.85</v>
      </c>
      <c r="U33" s="103">
        <f>IF(Premium!$C$7="FL",IF(Premium!$C$26="No",CS37,DP37),BQ37)</f>
        <v>3.63</v>
      </c>
      <c r="V33" s="98">
        <f>IF(Premium!$C$7="FL",IF(Premium!$C$26="No",CT37,DQ37),BR37)</f>
        <v>2.97</v>
      </c>
      <c r="W33" s="99">
        <f>IF(Premium!$C$7="FL",IF(Premium!$C$26="No",CU37,DR37),BS37)</f>
        <v>2.97</v>
      </c>
      <c r="X33" s="15"/>
      <c r="Y33" s="108">
        <f>IF(Premium!$C$7="FL",IF(Premium!$C$26="No",CV37,DS37),BT37)</f>
        <v>2.91</v>
      </c>
      <c r="Z33" s="106">
        <f>IF(Premium!$C$7="FL",IF(Premium!$C$26="No",CW37,DT37),BU37)</f>
        <v>1.74</v>
      </c>
      <c r="AA33" s="103">
        <f t="shared" ref="AA33:AE33" si="24">BV37</f>
        <v>3.33</v>
      </c>
      <c r="AB33" s="106">
        <f t="shared" si="24"/>
        <v>2</v>
      </c>
      <c r="AC33" s="15">
        <f t="shared" si="24"/>
        <v>1.25</v>
      </c>
      <c r="AD33" s="111">
        <f t="shared" si="24"/>
        <v>0.184</v>
      </c>
      <c r="AE33" s="112">
        <f t="shared" si="24"/>
        <v>6.8000000000000005E-2</v>
      </c>
      <c r="AK33" s="176">
        <f>AK32+10</f>
        <v>51</v>
      </c>
      <c r="AL33" s="176" t="str">
        <f>AK33&amp;"-"&amp;AK34-1</f>
        <v>51-60</v>
      </c>
      <c r="AM33" s="183">
        <v>1530</v>
      </c>
      <c r="AN33" s="183">
        <v>1460</v>
      </c>
      <c r="AY33" s="342">
        <v>58</v>
      </c>
      <c r="AZ33" s="343">
        <v>57.81</v>
      </c>
      <c r="BA33" s="345">
        <v>70.62</v>
      </c>
      <c r="BB33" s="343">
        <v>90.39</v>
      </c>
      <c r="BC33" s="344">
        <v>108.47</v>
      </c>
      <c r="BD33" s="343">
        <v>90.39</v>
      </c>
      <c r="BE33" s="344">
        <v>108.47</v>
      </c>
      <c r="BF33" s="345">
        <v>2.12</v>
      </c>
      <c r="BG33" s="346">
        <v>20.74</v>
      </c>
      <c r="BH33" s="347">
        <v>1.91</v>
      </c>
      <c r="BI33" s="348">
        <v>1.64</v>
      </c>
      <c r="BJ33" s="345">
        <v>1.64</v>
      </c>
      <c r="BK33" s="349">
        <v>2.82</v>
      </c>
      <c r="BL33" s="348">
        <v>2.56</v>
      </c>
      <c r="BM33" s="345">
        <v>2.56</v>
      </c>
      <c r="BN33" s="349">
        <v>2.1</v>
      </c>
      <c r="BO33" s="348">
        <v>1.8</v>
      </c>
      <c r="BP33" s="345">
        <v>1.8</v>
      </c>
      <c r="BQ33" s="348">
        <v>3.1</v>
      </c>
      <c r="BR33" s="348">
        <v>2.82</v>
      </c>
      <c r="BS33" s="348">
        <v>2.82</v>
      </c>
      <c r="BT33" s="347">
        <v>3.46</v>
      </c>
      <c r="BU33" s="344">
        <v>1.89</v>
      </c>
      <c r="BV33" s="347">
        <v>3.98</v>
      </c>
      <c r="BW33" s="344">
        <v>2.2000000000000002</v>
      </c>
      <c r="BX33" s="343">
        <v>1.25</v>
      </c>
      <c r="BY33" s="350">
        <v>0.22500000000000001</v>
      </c>
      <c r="BZ33" s="351">
        <v>8.4000000000000005E-2</v>
      </c>
      <c r="CC33" s="342">
        <v>58</v>
      </c>
      <c r="CD33" s="343">
        <v>75.150000000000006</v>
      </c>
      <c r="CE33" s="345">
        <v>91.81</v>
      </c>
      <c r="CF33" s="343">
        <v>128.09</v>
      </c>
      <c r="CG33" s="344">
        <v>153.69999999999999</v>
      </c>
      <c r="CH33" s="343">
        <v>128.09</v>
      </c>
      <c r="CI33" s="344">
        <v>153.69999999999999</v>
      </c>
      <c r="CJ33" s="347">
        <v>1.91</v>
      </c>
      <c r="CK33" s="348">
        <v>1.64</v>
      </c>
      <c r="CL33" s="345">
        <v>1.64</v>
      </c>
      <c r="CM33" s="349">
        <v>2.82</v>
      </c>
      <c r="CN33" s="348">
        <v>2.56</v>
      </c>
      <c r="CO33" s="345">
        <v>2.56</v>
      </c>
      <c r="CP33" s="349">
        <v>2.1</v>
      </c>
      <c r="CQ33" s="348">
        <v>1.8</v>
      </c>
      <c r="CR33" s="345">
        <v>1.8</v>
      </c>
      <c r="CS33" s="348">
        <v>3.1</v>
      </c>
      <c r="CT33" s="348">
        <v>2.82</v>
      </c>
      <c r="CU33" s="348">
        <v>2.82</v>
      </c>
      <c r="CV33" s="347">
        <v>3.46</v>
      </c>
      <c r="CW33" s="344">
        <v>1.89</v>
      </c>
      <c r="CZ33" s="342">
        <v>58</v>
      </c>
      <c r="DA33" s="343">
        <v>71.39</v>
      </c>
      <c r="DB33" s="345">
        <v>87.21</v>
      </c>
      <c r="DC33" s="343">
        <v>121.68</v>
      </c>
      <c r="DD33" s="344">
        <v>146.01</v>
      </c>
      <c r="DE33" s="343">
        <v>121.68</v>
      </c>
      <c r="DF33" s="344">
        <v>146.01</v>
      </c>
      <c r="DG33" s="347">
        <v>1.91</v>
      </c>
      <c r="DH33" s="348">
        <v>1.64</v>
      </c>
      <c r="DI33" s="345">
        <v>1.64</v>
      </c>
      <c r="DJ33" s="349">
        <v>2.82</v>
      </c>
      <c r="DK33" s="348">
        <v>2.56</v>
      </c>
      <c r="DL33" s="345">
        <v>2.56</v>
      </c>
      <c r="DM33" s="349">
        <v>2.1</v>
      </c>
      <c r="DN33" s="348">
        <v>1.8</v>
      </c>
      <c r="DO33" s="345">
        <v>1.8</v>
      </c>
      <c r="DP33" s="348">
        <v>3.1</v>
      </c>
      <c r="DQ33" s="348">
        <v>2.82</v>
      </c>
      <c r="DR33" s="348">
        <v>2.82</v>
      </c>
      <c r="DS33" s="347">
        <v>3.46</v>
      </c>
      <c r="DT33" s="344">
        <v>1.89</v>
      </c>
    </row>
    <row r="34" spans="1:124">
      <c r="A34" s="59">
        <v>63</v>
      </c>
      <c r="B34" s="473">
        <f>IF(Premium!$C$7="FL",IF(Premium!$C$26="No",CD38,DA38),AZ38)</f>
        <v>79.97</v>
      </c>
      <c r="C34" s="473">
        <f>IF(Premium!$C$7="FL",IF(Premium!$C$26="No",CE38,DB38),BA38)</f>
        <v>96.58</v>
      </c>
      <c r="D34" s="473">
        <f>IF(Premium!$C$7="FL",IF(Premium!$C$26="No",CF38,DC38),BB38)</f>
        <v>123.83</v>
      </c>
      <c r="E34" s="473">
        <f>IF(Premium!$C$7="FL",IF(Premium!$C$26="No",CG38,DD38),BC38)</f>
        <v>147.46</v>
      </c>
      <c r="F34" s="473">
        <f>IF(Premium!$C$7="FL",IF(Premium!$C$26="No",CH38,DE38),BD38)</f>
        <v>123.83</v>
      </c>
      <c r="G34" s="473">
        <f>IF(Premium!$C$7="FL",IF(Premium!$C$26="No",CI38,DF38),BE38)</f>
        <v>147.46</v>
      </c>
      <c r="H34" s="15"/>
      <c r="I34" s="92">
        <f t="shared" si="2"/>
        <v>1.97</v>
      </c>
      <c r="J34" s="93">
        <f t="shared" si="0"/>
        <v>18.39</v>
      </c>
      <c r="K34" s="60"/>
      <c r="L34" s="92">
        <f>IF(Premium!$C$7="FL",IF(Premium!$C$26="No",CJ38,DG38),BH38)</f>
        <v>2.2799999999999998</v>
      </c>
      <c r="M34" s="98">
        <f>IF(Premium!$C$7="FL",IF(Premium!$C$26="No",CK38,DH38),BI38)</f>
        <v>1.68</v>
      </c>
      <c r="N34" s="106">
        <f>IF(Premium!$C$7="FL",IF(Premium!$C$26="No",CL38,DI38),BJ38)</f>
        <v>1.68</v>
      </c>
      <c r="O34" s="103">
        <f>IF(Premium!$C$7="FL",IF(Premium!$C$26="No",CM38,DJ38),BK38)</f>
        <v>3.51</v>
      </c>
      <c r="P34" s="98">
        <f>IF(Premium!$C$7="FL",IF(Premium!$C$26="No",CN38,DK38),BL38)</f>
        <v>2.74</v>
      </c>
      <c r="Q34" s="106">
        <f>IF(Premium!$C$7="FL",IF(Premium!$C$26="No",CO38,DL38),BM38)</f>
        <v>2.74</v>
      </c>
      <c r="R34" s="108">
        <f>IF(Premium!$C$7="FL",IF(Premium!$C$26="No",CP38,DM38),BN38)</f>
        <v>2.5099999999999998</v>
      </c>
      <c r="S34" s="98">
        <f>IF(Premium!$C$7="FL",IF(Premium!$C$26="No",CQ38,DN38),BO38)</f>
        <v>1.85</v>
      </c>
      <c r="T34" s="106">
        <f>IF(Premium!$C$7="FL",IF(Premium!$C$26="No",CR38,DO38),BP38)</f>
        <v>1.85</v>
      </c>
      <c r="U34" s="103">
        <f>IF(Premium!$C$7="FL",IF(Premium!$C$26="No",CS38,DP38),BQ38)</f>
        <v>3.86</v>
      </c>
      <c r="V34" s="98">
        <f>IF(Premium!$C$7="FL",IF(Premium!$C$26="No",CT38,DQ38),BR38)</f>
        <v>3.01</v>
      </c>
      <c r="W34" s="99">
        <f>IF(Premium!$C$7="FL",IF(Premium!$C$26="No",CU38,DR38),BS38)</f>
        <v>3.01</v>
      </c>
      <c r="X34" s="15"/>
      <c r="Y34" s="108">
        <f>IF(Premium!$C$7="FL",IF(Premium!$C$26="No",CV38,DS38),BT38)</f>
        <v>2.75</v>
      </c>
      <c r="Z34" s="106">
        <f>IF(Premium!$C$7="FL",IF(Premium!$C$26="No",CW38,DT38),BU38)</f>
        <v>1.7</v>
      </c>
      <c r="AA34" s="103">
        <f t="shared" ref="AA34:AE34" si="25">BV38</f>
        <v>3.14</v>
      </c>
      <c r="AB34" s="106">
        <f t="shared" si="25"/>
        <v>1.94</v>
      </c>
      <c r="AC34" s="15">
        <f t="shared" si="25"/>
        <v>1.25</v>
      </c>
      <c r="AD34" s="111">
        <f t="shared" si="25"/>
        <v>0.17499999999999999</v>
      </c>
      <c r="AE34" s="112">
        <f t="shared" si="25"/>
        <v>6.4000000000000001E-2</v>
      </c>
      <c r="AK34" s="176">
        <f>AK33+10</f>
        <v>61</v>
      </c>
      <c r="AL34" s="176" t="str">
        <f>AK34&amp;"-"&amp;AK35-1</f>
        <v>61-70</v>
      </c>
      <c r="AM34" s="183">
        <v>4090</v>
      </c>
      <c r="AN34" s="183">
        <v>3900</v>
      </c>
      <c r="AY34" s="342">
        <v>59</v>
      </c>
      <c r="AZ34" s="343">
        <v>60.19</v>
      </c>
      <c r="BA34" s="345">
        <v>73.430000000000007</v>
      </c>
      <c r="BB34" s="343">
        <v>94.08</v>
      </c>
      <c r="BC34" s="344">
        <v>112.8</v>
      </c>
      <c r="BD34" s="343">
        <v>94.08</v>
      </c>
      <c r="BE34" s="344">
        <v>112.8</v>
      </c>
      <c r="BF34" s="345">
        <v>2.1</v>
      </c>
      <c r="BG34" s="346">
        <v>20.49</v>
      </c>
      <c r="BH34" s="347">
        <v>1.93</v>
      </c>
      <c r="BI34" s="348">
        <v>1.66</v>
      </c>
      <c r="BJ34" s="345">
        <v>1.66</v>
      </c>
      <c r="BK34" s="349">
        <v>2.88</v>
      </c>
      <c r="BL34" s="348">
        <v>2.59</v>
      </c>
      <c r="BM34" s="345">
        <v>2.59</v>
      </c>
      <c r="BN34" s="349">
        <v>2.12</v>
      </c>
      <c r="BO34" s="348">
        <v>1.83</v>
      </c>
      <c r="BP34" s="345">
        <v>1.83</v>
      </c>
      <c r="BQ34" s="348">
        <v>3.17</v>
      </c>
      <c r="BR34" s="348">
        <v>2.85</v>
      </c>
      <c r="BS34" s="348">
        <v>2.85</v>
      </c>
      <c r="BT34" s="347">
        <v>3.36</v>
      </c>
      <c r="BU34" s="344">
        <v>1.87</v>
      </c>
      <c r="BV34" s="347">
        <v>3.85</v>
      </c>
      <c r="BW34" s="344">
        <v>2.16</v>
      </c>
      <c r="BX34" s="343">
        <v>1.25</v>
      </c>
      <c r="BY34" s="350">
        <v>0.215</v>
      </c>
      <c r="BZ34" s="351">
        <v>0.08</v>
      </c>
      <c r="CC34" s="342">
        <v>59</v>
      </c>
      <c r="CD34" s="343">
        <v>78.25</v>
      </c>
      <c r="CE34" s="345">
        <v>95.46</v>
      </c>
      <c r="CF34" s="343">
        <v>133.31</v>
      </c>
      <c r="CG34" s="344">
        <v>159.84</v>
      </c>
      <c r="CH34" s="343">
        <v>133.31</v>
      </c>
      <c r="CI34" s="344">
        <v>159.84</v>
      </c>
      <c r="CJ34" s="347">
        <v>1.93</v>
      </c>
      <c r="CK34" s="348">
        <v>1.66</v>
      </c>
      <c r="CL34" s="345">
        <v>1.66</v>
      </c>
      <c r="CM34" s="349">
        <v>2.88</v>
      </c>
      <c r="CN34" s="348">
        <v>2.59</v>
      </c>
      <c r="CO34" s="345">
        <v>2.59</v>
      </c>
      <c r="CP34" s="349">
        <v>2.12</v>
      </c>
      <c r="CQ34" s="348">
        <v>1.83</v>
      </c>
      <c r="CR34" s="345">
        <v>1.83</v>
      </c>
      <c r="CS34" s="348">
        <v>3.17</v>
      </c>
      <c r="CT34" s="348">
        <v>2.85</v>
      </c>
      <c r="CU34" s="348">
        <v>2.85</v>
      </c>
      <c r="CV34" s="347">
        <v>3.36</v>
      </c>
      <c r="CW34" s="344">
        <v>1.87</v>
      </c>
      <c r="CZ34" s="342">
        <v>59</v>
      </c>
      <c r="DA34" s="343">
        <v>74.33</v>
      </c>
      <c r="DB34" s="345">
        <v>90.68</v>
      </c>
      <c r="DC34" s="343">
        <v>126.64</v>
      </c>
      <c r="DD34" s="344">
        <v>151.84</v>
      </c>
      <c r="DE34" s="343">
        <v>126.64</v>
      </c>
      <c r="DF34" s="344">
        <v>151.84</v>
      </c>
      <c r="DG34" s="347">
        <v>1.93</v>
      </c>
      <c r="DH34" s="348">
        <v>1.66</v>
      </c>
      <c r="DI34" s="345">
        <v>1.66</v>
      </c>
      <c r="DJ34" s="349">
        <v>2.88</v>
      </c>
      <c r="DK34" s="348">
        <v>2.59</v>
      </c>
      <c r="DL34" s="345">
        <v>2.59</v>
      </c>
      <c r="DM34" s="349">
        <v>2.12</v>
      </c>
      <c r="DN34" s="348">
        <v>1.83</v>
      </c>
      <c r="DO34" s="345">
        <v>1.83</v>
      </c>
      <c r="DP34" s="348">
        <v>3.17</v>
      </c>
      <c r="DQ34" s="348">
        <v>2.85</v>
      </c>
      <c r="DR34" s="348">
        <v>2.85</v>
      </c>
      <c r="DS34" s="347">
        <v>3.36</v>
      </c>
      <c r="DT34" s="344">
        <v>1.87</v>
      </c>
    </row>
    <row r="35" spans="1:124">
      <c r="A35" s="59">
        <v>64</v>
      </c>
      <c r="B35" s="473">
        <f>IF(Premium!$C$7="FL",IF(Premium!$C$26="No",CD39,DA39),AZ39)</f>
        <v>86.75</v>
      </c>
      <c r="C35" s="473">
        <f>IF(Premium!$C$7="FL",IF(Premium!$C$26="No",CE39,DB39),BA39)</f>
        <v>104.45</v>
      </c>
      <c r="D35" s="473">
        <f>IF(Premium!$C$7="FL",IF(Premium!$C$26="No",CF39,DC39),BB39)</f>
        <v>133.91</v>
      </c>
      <c r="E35" s="473">
        <f>IF(Premium!$C$7="FL",IF(Premium!$C$26="No",CG39,DD39),BC39)</f>
        <v>159.15</v>
      </c>
      <c r="F35" s="473">
        <f>IF(Premium!$C$7="FL",IF(Premium!$C$26="No",CH39,DE39),BD39)</f>
        <v>133.91</v>
      </c>
      <c r="G35" s="473">
        <f>IF(Premium!$C$7="FL",IF(Premium!$C$26="No",CI39,DF39),BE39)</f>
        <v>159.15</v>
      </c>
      <c r="H35" s="15"/>
      <c r="I35" s="92">
        <f t="shared" si="2"/>
        <v>1.94</v>
      </c>
      <c r="J35" s="93">
        <f t="shared" si="0"/>
        <v>17.809999999999999</v>
      </c>
      <c r="K35" s="60"/>
      <c r="L35" s="92">
        <f>IF(Premium!$C$7="FL",IF(Premium!$C$26="No",CJ39,DG39),BH39)</f>
        <v>2.39</v>
      </c>
      <c r="M35" s="98">
        <f>IF(Premium!$C$7="FL",IF(Premium!$C$26="No",CK39,DH39),BI39)</f>
        <v>1.69</v>
      </c>
      <c r="N35" s="106">
        <f>IF(Premium!$C$7="FL",IF(Premium!$C$26="No",CL39,DI39),BJ39)</f>
        <v>1.69</v>
      </c>
      <c r="O35" s="103">
        <f>IF(Premium!$C$7="FL",IF(Premium!$C$26="No",CM39,DJ39),BK39)</f>
        <v>3.72</v>
      </c>
      <c r="P35" s="98">
        <f>IF(Premium!$C$7="FL",IF(Premium!$C$26="No",CN39,DK39),BL39)</f>
        <v>2.77</v>
      </c>
      <c r="Q35" s="106">
        <f>IF(Premium!$C$7="FL",IF(Premium!$C$26="No",CO39,DL39),BM39)</f>
        <v>2.77</v>
      </c>
      <c r="R35" s="108">
        <f>IF(Premium!$C$7="FL",IF(Premium!$C$26="No",CP39,DM39),BN39)</f>
        <v>2.63</v>
      </c>
      <c r="S35" s="98">
        <f>IF(Premium!$C$7="FL",IF(Premium!$C$26="No",CQ39,DN39),BO39)</f>
        <v>1.86</v>
      </c>
      <c r="T35" s="106">
        <f>IF(Premium!$C$7="FL",IF(Premium!$C$26="No",CR39,DO39),BP39)</f>
        <v>1.86</v>
      </c>
      <c r="U35" s="103">
        <f>IF(Premium!$C$7="FL",IF(Premium!$C$26="No",CS39,DP39),BQ39)</f>
        <v>4.09</v>
      </c>
      <c r="V35" s="98">
        <f>IF(Premium!$C$7="FL",IF(Premium!$C$26="No",CT39,DQ39),BR39)</f>
        <v>3.05</v>
      </c>
      <c r="W35" s="99">
        <f>IF(Premium!$C$7="FL",IF(Premium!$C$26="No",CU39,DR39),BS39)</f>
        <v>3.05</v>
      </c>
      <c r="X35" s="15"/>
      <c r="Y35" s="108">
        <f>IF(Premium!$C$7="FL",IF(Premium!$C$26="No",CV39,DS39),BT39)</f>
        <v>2.6</v>
      </c>
      <c r="Z35" s="106">
        <f>IF(Premium!$C$7="FL",IF(Premium!$C$26="No",CW39,DT39),BU39)</f>
        <v>1.65</v>
      </c>
      <c r="AA35" s="103">
        <f t="shared" ref="AA35:AE35" si="26">BV39</f>
        <v>2.96</v>
      </c>
      <c r="AB35" s="106">
        <f t="shared" si="26"/>
        <v>1.89</v>
      </c>
      <c r="AC35" s="15">
        <f t="shared" si="26"/>
        <v>1.25</v>
      </c>
      <c r="AD35" s="111">
        <f t="shared" si="26"/>
        <v>0.16500000000000001</v>
      </c>
      <c r="AE35" s="112">
        <f t="shared" si="26"/>
        <v>0.06</v>
      </c>
      <c r="AK35" s="176">
        <f>AK34+10</f>
        <v>71</v>
      </c>
      <c r="AL35" s="176" t="str">
        <f>AK35&amp;"+"</f>
        <v>71+</v>
      </c>
      <c r="AM35" s="183">
        <v>5110</v>
      </c>
      <c r="AN35" s="183">
        <v>4890</v>
      </c>
      <c r="AY35" s="342">
        <v>60</v>
      </c>
      <c r="AZ35" s="343">
        <v>62.66</v>
      </c>
      <c r="BA35" s="344">
        <v>76.34</v>
      </c>
      <c r="BB35" s="343">
        <v>97.92</v>
      </c>
      <c r="BC35" s="344">
        <v>117.31</v>
      </c>
      <c r="BD35" s="343">
        <v>97.92</v>
      </c>
      <c r="BE35" s="344">
        <v>117.31</v>
      </c>
      <c r="BF35" s="345">
        <v>2.0699999999999998</v>
      </c>
      <c r="BG35" s="346">
        <v>20.239999999999998</v>
      </c>
      <c r="BH35" s="347">
        <v>1.97</v>
      </c>
      <c r="BI35" s="348">
        <v>1.67</v>
      </c>
      <c r="BJ35" s="345">
        <v>1.67</v>
      </c>
      <c r="BK35" s="349">
        <v>2.94</v>
      </c>
      <c r="BL35" s="348">
        <v>2.63</v>
      </c>
      <c r="BM35" s="345">
        <v>2.63</v>
      </c>
      <c r="BN35" s="349">
        <v>2.17</v>
      </c>
      <c r="BO35" s="348">
        <v>1.84</v>
      </c>
      <c r="BP35" s="345">
        <v>1.84</v>
      </c>
      <c r="BQ35" s="348">
        <v>3.23</v>
      </c>
      <c r="BR35" s="348">
        <v>2.89</v>
      </c>
      <c r="BS35" s="348">
        <v>2.89</v>
      </c>
      <c r="BT35" s="347">
        <v>3.26</v>
      </c>
      <c r="BU35" s="344">
        <v>1.84</v>
      </c>
      <c r="BV35" s="347">
        <v>3.73</v>
      </c>
      <c r="BW35" s="344">
        <v>2.12</v>
      </c>
      <c r="BX35" s="343">
        <v>1.25</v>
      </c>
      <c r="BY35" s="350">
        <v>0.20499999999999999</v>
      </c>
      <c r="BZ35" s="351">
        <v>7.6999999999999999E-2</v>
      </c>
      <c r="CC35" s="342">
        <v>60</v>
      </c>
      <c r="CD35" s="343">
        <v>81.459999999999994</v>
      </c>
      <c r="CE35" s="344">
        <v>99.24</v>
      </c>
      <c r="CF35" s="343">
        <v>138.76</v>
      </c>
      <c r="CG35" s="344">
        <v>166.23</v>
      </c>
      <c r="CH35" s="343">
        <v>138.76</v>
      </c>
      <c r="CI35" s="344">
        <v>166.23</v>
      </c>
      <c r="CJ35" s="347">
        <v>1.97</v>
      </c>
      <c r="CK35" s="348">
        <v>1.67</v>
      </c>
      <c r="CL35" s="345">
        <v>1.67</v>
      </c>
      <c r="CM35" s="349">
        <v>2.94</v>
      </c>
      <c r="CN35" s="348">
        <v>2.63</v>
      </c>
      <c r="CO35" s="345">
        <v>2.63</v>
      </c>
      <c r="CP35" s="349">
        <v>2.17</v>
      </c>
      <c r="CQ35" s="348">
        <v>1.84</v>
      </c>
      <c r="CR35" s="345">
        <v>1.84</v>
      </c>
      <c r="CS35" s="348">
        <v>3.23</v>
      </c>
      <c r="CT35" s="348">
        <v>2.89</v>
      </c>
      <c r="CU35" s="348">
        <v>2.89</v>
      </c>
      <c r="CV35" s="347">
        <v>3.26</v>
      </c>
      <c r="CW35" s="344">
        <v>1.84</v>
      </c>
      <c r="CZ35" s="342">
        <v>60</v>
      </c>
      <c r="DA35" s="343">
        <v>77.38</v>
      </c>
      <c r="DB35" s="344">
        <v>94.27</v>
      </c>
      <c r="DC35" s="343">
        <v>131.81</v>
      </c>
      <c r="DD35" s="344">
        <v>157.91</v>
      </c>
      <c r="DE35" s="343">
        <v>131.81</v>
      </c>
      <c r="DF35" s="344">
        <v>157.91</v>
      </c>
      <c r="DG35" s="347">
        <v>1.97</v>
      </c>
      <c r="DH35" s="348">
        <v>1.67</v>
      </c>
      <c r="DI35" s="345">
        <v>1.67</v>
      </c>
      <c r="DJ35" s="349">
        <v>2.94</v>
      </c>
      <c r="DK35" s="348">
        <v>2.63</v>
      </c>
      <c r="DL35" s="345">
        <v>2.63</v>
      </c>
      <c r="DM35" s="349">
        <v>2.17</v>
      </c>
      <c r="DN35" s="348">
        <v>1.84</v>
      </c>
      <c r="DO35" s="345">
        <v>1.84</v>
      </c>
      <c r="DP35" s="348">
        <v>3.23</v>
      </c>
      <c r="DQ35" s="348">
        <v>2.89</v>
      </c>
      <c r="DR35" s="348">
        <v>2.89</v>
      </c>
      <c r="DS35" s="347">
        <v>3.26</v>
      </c>
      <c r="DT35" s="344">
        <v>1.84</v>
      </c>
    </row>
    <row r="36" spans="1:124">
      <c r="A36" s="59">
        <v>65</v>
      </c>
      <c r="B36" s="473">
        <f>IF(Premium!$C$7="FL",IF(Premium!$C$26="No",CD40,DA40),AZ40)</f>
        <v>94.09</v>
      </c>
      <c r="C36" s="473">
        <f>IF(Premium!$C$7="FL",IF(Premium!$C$26="No",CE40,DB40),BA40)</f>
        <v>112.97</v>
      </c>
      <c r="D36" s="473">
        <f>IF(Premium!$C$7="FL",IF(Premium!$C$26="No",CF40,DC40),BB40)</f>
        <v>144.82</v>
      </c>
      <c r="E36" s="473">
        <f>IF(Premium!$C$7="FL",IF(Premium!$C$26="No",CG40,DD40),BC40)</f>
        <v>171.76</v>
      </c>
      <c r="F36" s="473">
        <f>IF(Premium!$C$7="FL",IF(Premium!$C$26="No",CH40,DE40),BD40)</f>
        <v>144.82</v>
      </c>
      <c r="G36" s="473">
        <f>IF(Premium!$C$7="FL",IF(Premium!$C$26="No",CI40,DF40),BE40)</f>
        <v>171.76</v>
      </c>
      <c r="H36" s="15"/>
      <c r="I36" s="92">
        <f t="shared" si="2"/>
        <v>1.9</v>
      </c>
      <c r="J36" s="93">
        <f t="shared" si="0"/>
        <v>17.25</v>
      </c>
      <c r="K36" s="60"/>
      <c r="L36" s="92">
        <f>IF(Premium!$C$7="FL",IF(Premium!$C$26="No",CJ40,DG40),BH40)</f>
        <v>2.5099999999999998</v>
      </c>
      <c r="M36" s="98">
        <f>IF(Premium!$C$7="FL",IF(Premium!$C$26="No",CK40,DH40),BI40)</f>
        <v>1.69</v>
      </c>
      <c r="N36" s="106">
        <f>IF(Premium!$C$7="FL",IF(Premium!$C$26="No",CL40,DI40),BJ40)</f>
        <v>1.69</v>
      </c>
      <c r="O36" s="103">
        <f>IF(Premium!$C$7="FL",IF(Premium!$C$26="No",CM40,DJ40),BK40)</f>
        <v>3.94</v>
      </c>
      <c r="P36" s="98">
        <f>IF(Premium!$C$7="FL",IF(Premium!$C$26="No",CN40,DK40),BL40)</f>
        <v>2.81</v>
      </c>
      <c r="Q36" s="106">
        <f>IF(Premium!$C$7="FL",IF(Premium!$C$26="No",CO40,DL40),BM40)</f>
        <v>2.81</v>
      </c>
      <c r="R36" s="108">
        <f>IF(Premium!$C$7="FL",IF(Premium!$C$26="No",CP40,DM40),BN40)</f>
        <v>2.76</v>
      </c>
      <c r="S36" s="98">
        <f>IF(Premium!$C$7="FL",IF(Premium!$C$26="No",CQ40,DN40),BO40)</f>
        <v>1.86</v>
      </c>
      <c r="T36" s="106">
        <f>IF(Premium!$C$7="FL",IF(Premium!$C$26="No",CR40,DO40),BP40)</f>
        <v>1.86</v>
      </c>
      <c r="U36" s="103">
        <f>IF(Premium!$C$7="FL",IF(Premium!$C$26="No",CS40,DP40),BQ40)</f>
        <v>4.33</v>
      </c>
      <c r="V36" s="98">
        <f>IF(Premium!$C$7="FL",IF(Premium!$C$26="No",CT40,DQ40),BR40)</f>
        <v>3.09</v>
      </c>
      <c r="W36" s="99">
        <f>IF(Premium!$C$7="FL",IF(Premium!$C$26="No",CU40,DR40),BS40)</f>
        <v>3.09</v>
      </c>
      <c r="X36" s="15"/>
      <c r="Y36" s="108">
        <f>IF(Premium!$C$7="FL",IF(Premium!$C$26="No",CV40,DS40),BT40)</f>
        <v>2.46</v>
      </c>
      <c r="Z36" s="106">
        <f>IF(Premium!$C$7="FL",IF(Premium!$C$26="No",CW40,DT40),BU40)</f>
        <v>1.61</v>
      </c>
      <c r="AA36" s="103">
        <f t="shared" ref="AA36:AE36" si="27">BV40</f>
        <v>2.8</v>
      </c>
      <c r="AB36" s="106">
        <f t="shared" si="27"/>
        <v>1.84</v>
      </c>
      <c r="AC36" s="15">
        <f t="shared" si="27"/>
        <v>1.25</v>
      </c>
      <c r="AD36" s="111">
        <f t="shared" si="27"/>
        <v>0.157</v>
      </c>
      <c r="AE36" s="112">
        <f t="shared" si="27"/>
        <v>5.6000000000000001E-2</v>
      </c>
      <c r="AK36" s="176"/>
      <c r="AL36" s="176"/>
      <c r="AM36" s="179"/>
      <c r="AN36" s="179"/>
      <c r="AY36" s="342">
        <v>61</v>
      </c>
      <c r="AZ36" s="343">
        <v>67.97</v>
      </c>
      <c r="BA36" s="344">
        <v>82.56</v>
      </c>
      <c r="BB36" s="343">
        <v>105.89</v>
      </c>
      <c r="BC36" s="344">
        <v>126.61</v>
      </c>
      <c r="BD36" s="343">
        <v>105.89</v>
      </c>
      <c r="BE36" s="344">
        <v>126.61</v>
      </c>
      <c r="BF36" s="345">
        <v>2.04</v>
      </c>
      <c r="BG36" s="346">
        <v>19.600000000000001</v>
      </c>
      <c r="BH36" s="347">
        <v>2.0699999999999998</v>
      </c>
      <c r="BI36" s="348">
        <v>1.68</v>
      </c>
      <c r="BJ36" s="345">
        <v>1.68</v>
      </c>
      <c r="BK36" s="349">
        <v>3.12</v>
      </c>
      <c r="BL36" s="348">
        <v>2.67</v>
      </c>
      <c r="BM36" s="345">
        <v>2.67</v>
      </c>
      <c r="BN36" s="349">
        <v>2.2799999999999998</v>
      </c>
      <c r="BO36" s="348">
        <v>1.85</v>
      </c>
      <c r="BP36" s="345">
        <v>1.85</v>
      </c>
      <c r="BQ36" s="348">
        <v>3.43</v>
      </c>
      <c r="BR36" s="348">
        <v>2.94</v>
      </c>
      <c r="BS36" s="348">
        <v>2.94</v>
      </c>
      <c r="BT36" s="347">
        <v>3.08</v>
      </c>
      <c r="BU36" s="344">
        <v>1.79</v>
      </c>
      <c r="BV36" s="347">
        <v>3.52</v>
      </c>
      <c r="BW36" s="344">
        <v>2.06</v>
      </c>
      <c r="BX36" s="343">
        <v>1.25</v>
      </c>
      <c r="BY36" s="350">
        <v>0.19400000000000001</v>
      </c>
      <c r="BZ36" s="351">
        <v>7.1999999999999995E-2</v>
      </c>
      <c r="CC36" s="342">
        <v>61</v>
      </c>
      <c r="CD36" s="343">
        <v>88.36</v>
      </c>
      <c r="CE36" s="344">
        <v>107.33</v>
      </c>
      <c r="CF36" s="343">
        <v>150.05000000000001</v>
      </c>
      <c r="CG36" s="344">
        <v>179.4</v>
      </c>
      <c r="CH36" s="343">
        <v>150.05000000000001</v>
      </c>
      <c r="CI36" s="344">
        <v>179.4</v>
      </c>
      <c r="CJ36" s="347">
        <v>2.0699999999999998</v>
      </c>
      <c r="CK36" s="348">
        <v>1.68</v>
      </c>
      <c r="CL36" s="345">
        <v>1.68</v>
      </c>
      <c r="CM36" s="349">
        <v>3.12</v>
      </c>
      <c r="CN36" s="348">
        <v>2.67</v>
      </c>
      <c r="CO36" s="345">
        <v>2.67</v>
      </c>
      <c r="CP36" s="349">
        <v>2.2799999999999998</v>
      </c>
      <c r="CQ36" s="348">
        <v>1.85</v>
      </c>
      <c r="CR36" s="345">
        <v>1.85</v>
      </c>
      <c r="CS36" s="348">
        <v>3.43</v>
      </c>
      <c r="CT36" s="348">
        <v>2.94</v>
      </c>
      <c r="CU36" s="348">
        <v>2.94</v>
      </c>
      <c r="CV36" s="347">
        <v>3.08</v>
      </c>
      <c r="CW36" s="344">
        <v>1.79</v>
      </c>
      <c r="CZ36" s="342">
        <v>61</v>
      </c>
      <c r="DA36" s="343">
        <v>83.94</v>
      </c>
      <c r="DB36" s="344">
        <v>101.96</v>
      </c>
      <c r="DC36" s="343">
        <v>142.54</v>
      </c>
      <c r="DD36" s="344">
        <v>170.43</v>
      </c>
      <c r="DE36" s="343">
        <v>142.54</v>
      </c>
      <c r="DF36" s="344">
        <v>170.43</v>
      </c>
      <c r="DG36" s="347">
        <v>2.0699999999999998</v>
      </c>
      <c r="DH36" s="348">
        <v>1.68</v>
      </c>
      <c r="DI36" s="345">
        <v>1.68</v>
      </c>
      <c r="DJ36" s="349">
        <v>3.12</v>
      </c>
      <c r="DK36" s="348">
        <v>2.67</v>
      </c>
      <c r="DL36" s="345">
        <v>2.67</v>
      </c>
      <c r="DM36" s="349">
        <v>2.2799999999999998</v>
      </c>
      <c r="DN36" s="348">
        <v>1.85</v>
      </c>
      <c r="DO36" s="345">
        <v>1.85</v>
      </c>
      <c r="DP36" s="348">
        <v>3.43</v>
      </c>
      <c r="DQ36" s="348">
        <v>2.94</v>
      </c>
      <c r="DR36" s="348">
        <v>2.94</v>
      </c>
      <c r="DS36" s="347">
        <v>3.08</v>
      </c>
      <c r="DT36" s="344">
        <v>1.79</v>
      </c>
    </row>
    <row r="37" spans="1:124">
      <c r="A37" s="59">
        <v>66</v>
      </c>
      <c r="B37" s="473">
        <f>IF(Premium!$C$7="FL",IF(Premium!$C$26="No",CD41,DA41),AZ41)</f>
        <v>102.07</v>
      </c>
      <c r="C37" s="473">
        <f>IF(Premium!$C$7="FL",IF(Premium!$C$26="No",CE41,DB41),BA41)</f>
        <v>122.18</v>
      </c>
      <c r="D37" s="473">
        <f>IF(Premium!$C$7="FL",IF(Premium!$C$26="No",CF41,DC41),BB41)</f>
        <v>156.6</v>
      </c>
      <c r="E37" s="473">
        <f>IF(Premium!$C$7="FL",IF(Premium!$C$26="No",CG41,DD41),BC41)</f>
        <v>185.37</v>
      </c>
      <c r="F37" s="473">
        <f>IF(Premium!$C$7="FL",IF(Premium!$C$26="No",CH41,DE41),BD41)</f>
        <v>156.6</v>
      </c>
      <c r="G37" s="473">
        <f>IF(Premium!$C$7="FL",IF(Premium!$C$26="No",CI41,DF41),BE41)</f>
        <v>185.37</v>
      </c>
      <c r="H37" s="15"/>
      <c r="I37" s="92">
        <f t="shared" si="2"/>
        <v>1.87</v>
      </c>
      <c r="J37" s="93">
        <f t="shared" si="0"/>
        <v>16.71</v>
      </c>
      <c r="K37" s="60"/>
      <c r="L37" s="92">
        <f>IF(Premium!$C$7="FL",IF(Premium!$C$26="No",CJ41,DG41),BH41)</f>
        <v>2.63</v>
      </c>
      <c r="M37" s="98">
        <f>IF(Premium!$C$7="FL",IF(Premium!$C$26="No",CK41,DH41),BI41)</f>
        <v>1.7</v>
      </c>
      <c r="N37" s="106">
        <f>IF(Premium!$C$7="FL",IF(Premium!$C$26="No",CL41,DI41),BJ41)</f>
        <v>1.7</v>
      </c>
      <c r="O37" s="103">
        <f>IF(Premium!$C$7="FL",IF(Premium!$C$26="No",CM41,DJ41),BK41)</f>
        <v>4.18</v>
      </c>
      <c r="P37" s="98">
        <f>IF(Premium!$C$7="FL",IF(Premium!$C$26="No",CN41,DK41),BL41)</f>
        <v>2.84</v>
      </c>
      <c r="Q37" s="106">
        <f>IF(Premium!$C$7="FL",IF(Premium!$C$26="No",CO41,DL41),BM41)</f>
        <v>2.84</v>
      </c>
      <c r="R37" s="108">
        <f>IF(Premium!$C$7="FL",IF(Premium!$C$26="No",CP41,DM41),BN41)</f>
        <v>2.89</v>
      </c>
      <c r="S37" s="98">
        <f>IF(Premium!$C$7="FL",IF(Premium!$C$26="No",CQ41,DN41),BO41)</f>
        <v>1.87</v>
      </c>
      <c r="T37" s="106">
        <f>IF(Premium!$C$7="FL",IF(Premium!$C$26="No",CR41,DO41),BP41)</f>
        <v>1.87</v>
      </c>
      <c r="U37" s="103">
        <f>IF(Premium!$C$7="FL",IF(Premium!$C$26="No",CS41,DP41),BQ41)</f>
        <v>4.5999999999999996</v>
      </c>
      <c r="V37" s="98">
        <f>IF(Premium!$C$7="FL",IF(Premium!$C$26="No",CT41,DQ41),BR41)</f>
        <v>3.12</v>
      </c>
      <c r="W37" s="99">
        <f>IF(Premium!$C$7="FL",IF(Premium!$C$26="No",CU41,DR41),BS41)</f>
        <v>3.12</v>
      </c>
      <c r="X37" s="15"/>
      <c r="Y37" s="108">
        <f>IF(Premium!$C$7="FL",IF(Premium!$C$26="No",CV41,DS41),BT41)</f>
        <v>2.33</v>
      </c>
      <c r="Z37" s="106">
        <f>IF(Premium!$C$7="FL",IF(Premium!$C$26="No",CW41,DT41),BU41)</f>
        <v>1.57</v>
      </c>
      <c r="AA37" s="103">
        <f t="shared" ref="AA37:AE37" si="28">BV41</f>
        <v>2.64</v>
      </c>
      <c r="AB37" s="106">
        <f t="shared" si="28"/>
        <v>1.78</v>
      </c>
      <c r="AC37" s="15">
        <f t="shared" si="28"/>
        <v>1.25</v>
      </c>
      <c r="AD37" s="111">
        <f t="shared" si="28"/>
        <v>0.14899999999999999</v>
      </c>
      <c r="AE37" s="112">
        <f t="shared" si="28"/>
        <v>5.2999999999999999E-2</v>
      </c>
      <c r="AK37" s="182"/>
      <c r="AL37" s="182"/>
      <c r="AM37" s="182"/>
      <c r="AN37" s="182"/>
      <c r="AY37" s="342">
        <v>62</v>
      </c>
      <c r="AZ37" s="343">
        <v>73.73</v>
      </c>
      <c r="BA37" s="344">
        <v>89.3</v>
      </c>
      <c r="BB37" s="343">
        <v>114.51</v>
      </c>
      <c r="BC37" s="344">
        <v>136.63999999999999</v>
      </c>
      <c r="BD37" s="343">
        <v>114.51</v>
      </c>
      <c r="BE37" s="344">
        <v>136.63999999999999</v>
      </c>
      <c r="BF37" s="345">
        <v>2</v>
      </c>
      <c r="BG37" s="346">
        <v>18.989999999999998</v>
      </c>
      <c r="BH37" s="347">
        <v>2.17</v>
      </c>
      <c r="BI37" s="348">
        <v>1.68</v>
      </c>
      <c r="BJ37" s="345">
        <v>1.68</v>
      </c>
      <c r="BK37" s="349">
        <v>3.3</v>
      </c>
      <c r="BL37" s="348">
        <v>2.7</v>
      </c>
      <c r="BM37" s="345">
        <v>2.7</v>
      </c>
      <c r="BN37" s="349">
        <v>2.39</v>
      </c>
      <c r="BO37" s="348">
        <v>1.85</v>
      </c>
      <c r="BP37" s="345">
        <v>1.85</v>
      </c>
      <c r="BQ37" s="348">
        <v>3.63</v>
      </c>
      <c r="BR37" s="348">
        <v>2.97</v>
      </c>
      <c r="BS37" s="348">
        <v>2.97</v>
      </c>
      <c r="BT37" s="347">
        <v>2.91</v>
      </c>
      <c r="BU37" s="344">
        <v>1.74</v>
      </c>
      <c r="BV37" s="347">
        <v>3.33</v>
      </c>
      <c r="BW37" s="344">
        <v>2</v>
      </c>
      <c r="BX37" s="343">
        <v>1.25</v>
      </c>
      <c r="BY37" s="350">
        <v>0.184</v>
      </c>
      <c r="BZ37" s="351">
        <v>6.8000000000000005E-2</v>
      </c>
      <c r="CC37" s="342">
        <v>62</v>
      </c>
      <c r="CD37" s="343">
        <v>95.85</v>
      </c>
      <c r="CE37" s="344">
        <v>116.09</v>
      </c>
      <c r="CF37" s="343">
        <v>162.26</v>
      </c>
      <c r="CG37" s="344">
        <v>193.62</v>
      </c>
      <c r="CH37" s="343">
        <v>162.26</v>
      </c>
      <c r="CI37" s="344">
        <v>193.62</v>
      </c>
      <c r="CJ37" s="347">
        <v>2.17</v>
      </c>
      <c r="CK37" s="348">
        <v>1.68</v>
      </c>
      <c r="CL37" s="345">
        <v>1.68</v>
      </c>
      <c r="CM37" s="349">
        <v>3.3</v>
      </c>
      <c r="CN37" s="348">
        <v>2.7</v>
      </c>
      <c r="CO37" s="345">
        <v>2.7</v>
      </c>
      <c r="CP37" s="349">
        <v>2.39</v>
      </c>
      <c r="CQ37" s="348">
        <v>1.85</v>
      </c>
      <c r="CR37" s="345">
        <v>1.85</v>
      </c>
      <c r="CS37" s="348">
        <v>3.63</v>
      </c>
      <c r="CT37" s="348">
        <v>2.97</v>
      </c>
      <c r="CU37" s="348">
        <v>2.97</v>
      </c>
      <c r="CV37" s="347">
        <v>2.91</v>
      </c>
      <c r="CW37" s="344">
        <v>1.74</v>
      </c>
      <c r="CZ37" s="342">
        <v>62</v>
      </c>
      <c r="DA37" s="343">
        <v>91.05</v>
      </c>
      <c r="DB37" s="344">
        <v>110.28</v>
      </c>
      <c r="DC37" s="343">
        <v>154.13999999999999</v>
      </c>
      <c r="DD37" s="344">
        <v>183.93</v>
      </c>
      <c r="DE37" s="343">
        <v>154.13999999999999</v>
      </c>
      <c r="DF37" s="344">
        <v>183.93</v>
      </c>
      <c r="DG37" s="347">
        <v>2.17</v>
      </c>
      <c r="DH37" s="348">
        <v>1.68</v>
      </c>
      <c r="DI37" s="345">
        <v>1.68</v>
      </c>
      <c r="DJ37" s="349">
        <v>3.3</v>
      </c>
      <c r="DK37" s="348">
        <v>2.7</v>
      </c>
      <c r="DL37" s="345">
        <v>2.7</v>
      </c>
      <c r="DM37" s="349">
        <v>2.39</v>
      </c>
      <c r="DN37" s="348">
        <v>1.85</v>
      </c>
      <c r="DO37" s="345">
        <v>1.85</v>
      </c>
      <c r="DP37" s="348">
        <v>3.63</v>
      </c>
      <c r="DQ37" s="348">
        <v>2.97</v>
      </c>
      <c r="DR37" s="348">
        <v>2.97</v>
      </c>
      <c r="DS37" s="347">
        <v>2.91</v>
      </c>
      <c r="DT37" s="344">
        <v>1.74</v>
      </c>
    </row>
    <row r="38" spans="1:124">
      <c r="A38" s="59">
        <v>67</v>
      </c>
      <c r="B38" s="473">
        <f>IF(Premium!$C$7="FL",IF(Premium!$C$26="No",CD42,DA42),AZ42)</f>
        <v>110.71</v>
      </c>
      <c r="C38" s="473">
        <f>IF(Premium!$C$7="FL",IF(Premium!$C$26="No",CE42,DB42),BA42)</f>
        <v>132.13999999999999</v>
      </c>
      <c r="D38" s="473">
        <f>IF(Premium!$C$7="FL",IF(Premium!$C$26="No",CF42,DC42),BB42)</f>
        <v>169.35</v>
      </c>
      <c r="E38" s="473">
        <f>IF(Premium!$C$7="FL",IF(Premium!$C$26="No",CG42,DD42),BC42)</f>
        <v>200.06</v>
      </c>
      <c r="F38" s="473">
        <f>IF(Premium!$C$7="FL",IF(Premium!$C$26="No",CH42,DE42),BD42)</f>
        <v>169.35</v>
      </c>
      <c r="G38" s="473">
        <f>IF(Premium!$C$7="FL",IF(Premium!$C$26="No",CI42,DF42),BE42)</f>
        <v>200.06</v>
      </c>
      <c r="H38" s="15"/>
      <c r="I38" s="92">
        <f t="shared" si="2"/>
        <v>1.84</v>
      </c>
      <c r="J38" s="93">
        <f t="shared" si="0"/>
        <v>16.18</v>
      </c>
      <c r="K38" s="60"/>
      <c r="L38" s="92">
        <f>IF(Premium!$C$7="FL",IF(Premium!$C$26="No",CJ42,DG42),BH42)</f>
        <v>2.77</v>
      </c>
      <c r="M38" s="98">
        <f>IF(Premium!$C$7="FL",IF(Premium!$C$26="No",CK42,DH42),BI42)</f>
        <v>1.71</v>
      </c>
      <c r="N38" s="106">
        <f>IF(Premium!$C$7="FL",IF(Premium!$C$26="No",CL42,DI42),BJ42)</f>
        <v>1.71</v>
      </c>
      <c r="O38" s="103">
        <f>IF(Premium!$C$7="FL",IF(Premium!$C$26="No",CM42,DJ42),BK42)</f>
        <v>4.4400000000000004</v>
      </c>
      <c r="P38" s="98">
        <f>IF(Premium!$C$7="FL",IF(Premium!$C$26="No",CN42,DK42),BL42)</f>
        <v>2.88</v>
      </c>
      <c r="Q38" s="106">
        <f>IF(Premium!$C$7="FL",IF(Premium!$C$26="No",CO42,DL42),BM42)</f>
        <v>2.88</v>
      </c>
      <c r="R38" s="108">
        <f>IF(Premium!$C$7="FL",IF(Premium!$C$26="No",CP42,DM42),BN42)</f>
        <v>3.05</v>
      </c>
      <c r="S38" s="98">
        <f>IF(Premium!$C$7="FL",IF(Premium!$C$26="No",CQ42,DN42),BO42)</f>
        <v>1.88</v>
      </c>
      <c r="T38" s="106">
        <f>IF(Premium!$C$7="FL",IF(Premium!$C$26="No",CR42,DO42),BP42)</f>
        <v>1.88</v>
      </c>
      <c r="U38" s="103">
        <f>IF(Premium!$C$7="FL",IF(Premium!$C$26="No",CS42,DP42),BQ42)</f>
        <v>4.88</v>
      </c>
      <c r="V38" s="98">
        <f>IF(Premium!$C$7="FL",IF(Premium!$C$26="No",CT42,DQ42),BR42)</f>
        <v>3.17</v>
      </c>
      <c r="W38" s="99">
        <f>IF(Premium!$C$7="FL",IF(Premium!$C$26="No",CU42,DR42),BS42)</f>
        <v>3.17</v>
      </c>
      <c r="X38" s="15"/>
      <c r="Y38" s="108">
        <f>IF(Premium!$C$7="FL",IF(Premium!$C$26="No",CV42,DS42),BT42)</f>
        <v>2.2000000000000002</v>
      </c>
      <c r="Z38" s="106">
        <f>IF(Premium!$C$7="FL",IF(Premium!$C$26="No",CW42,DT42),BU42)</f>
        <v>1.53</v>
      </c>
      <c r="AA38" s="103">
        <f t="shared" ref="AA38:AE38" si="29">BV42</f>
        <v>2.4900000000000002</v>
      </c>
      <c r="AB38" s="106">
        <f t="shared" si="29"/>
        <v>1.73</v>
      </c>
      <c r="AC38" s="15">
        <f t="shared" si="29"/>
        <v>1.25</v>
      </c>
      <c r="AD38" s="111">
        <f t="shared" si="29"/>
        <v>0.14099999999999999</v>
      </c>
      <c r="AE38" s="112">
        <f t="shared" si="29"/>
        <v>0.05</v>
      </c>
      <c r="AK38" s="182"/>
      <c r="AL38" s="182"/>
      <c r="AM38" s="182"/>
      <c r="AN38" s="182"/>
      <c r="AY38" s="342">
        <v>63</v>
      </c>
      <c r="AZ38" s="343">
        <v>79.97</v>
      </c>
      <c r="BA38" s="344">
        <v>96.58</v>
      </c>
      <c r="BB38" s="343">
        <v>123.83</v>
      </c>
      <c r="BC38" s="344">
        <v>147.46</v>
      </c>
      <c r="BD38" s="343">
        <v>123.83</v>
      </c>
      <c r="BE38" s="344">
        <v>147.46</v>
      </c>
      <c r="BF38" s="345">
        <v>1.97</v>
      </c>
      <c r="BG38" s="346">
        <v>18.39</v>
      </c>
      <c r="BH38" s="347">
        <v>2.2799999999999998</v>
      </c>
      <c r="BI38" s="348">
        <v>1.68</v>
      </c>
      <c r="BJ38" s="345">
        <v>1.68</v>
      </c>
      <c r="BK38" s="349">
        <v>3.51</v>
      </c>
      <c r="BL38" s="348">
        <v>2.74</v>
      </c>
      <c r="BM38" s="345">
        <v>2.74</v>
      </c>
      <c r="BN38" s="349">
        <v>2.5099999999999998</v>
      </c>
      <c r="BO38" s="348">
        <v>1.85</v>
      </c>
      <c r="BP38" s="345">
        <v>1.85</v>
      </c>
      <c r="BQ38" s="348">
        <v>3.86</v>
      </c>
      <c r="BR38" s="348">
        <v>3.01</v>
      </c>
      <c r="BS38" s="348">
        <v>3.01</v>
      </c>
      <c r="BT38" s="347">
        <v>2.75</v>
      </c>
      <c r="BU38" s="344">
        <v>1.7</v>
      </c>
      <c r="BV38" s="347">
        <v>3.14</v>
      </c>
      <c r="BW38" s="344">
        <v>1.94</v>
      </c>
      <c r="BX38" s="343">
        <v>1.25</v>
      </c>
      <c r="BY38" s="350">
        <v>0.17499999999999999</v>
      </c>
      <c r="BZ38" s="351">
        <v>6.4000000000000001E-2</v>
      </c>
      <c r="CC38" s="342">
        <v>63</v>
      </c>
      <c r="CD38" s="343">
        <v>103.96</v>
      </c>
      <c r="CE38" s="344">
        <v>125.55</v>
      </c>
      <c r="CF38" s="343">
        <v>175.47</v>
      </c>
      <c r="CG38" s="344">
        <v>208.95</v>
      </c>
      <c r="CH38" s="343">
        <v>175.47</v>
      </c>
      <c r="CI38" s="344">
        <v>208.95</v>
      </c>
      <c r="CJ38" s="347">
        <v>2.2799999999999998</v>
      </c>
      <c r="CK38" s="348">
        <v>1.68</v>
      </c>
      <c r="CL38" s="345">
        <v>1.68</v>
      </c>
      <c r="CM38" s="349">
        <v>3.51</v>
      </c>
      <c r="CN38" s="348">
        <v>2.74</v>
      </c>
      <c r="CO38" s="345">
        <v>2.74</v>
      </c>
      <c r="CP38" s="349">
        <v>2.5099999999999998</v>
      </c>
      <c r="CQ38" s="348">
        <v>1.85</v>
      </c>
      <c r="CR38" s="345">
        <v>1.85</v>
      </c>
      <c r="CS38" s="348">
        <v>3.86</v>
      </c>
      <c r="CT38" s="348">
        <v>3.01</v>
      </c>
      <c r="CU38" s="348">
        <v>3.01</v>
      </c>
      <c r="CV38" s="347">
        <v>2.75</v>
      </c>
      <c r="CW38" s="344">
        <v>1.7</v>
      </c>
      <c r="CZ38" s="342">
        <v>63</v>
      </c>
      <c r="DA38" s="343">
        <v>98.76</v>
      </c>
      <c r="DB38" s="344">
        <v>119.27</v>
      </c>
      <c r="DC38" s="343">
        <v>166.69</v>
      </c>
      <c r="DD38" s="344">
        <v>198.5</v>
      </c>
      <c r="DE38" s="343">
        <v>166.69</v>
      </c>
      <c r="DF38" s="344">
        <v>198.5</v>
      </c>
      <c r="DG38" s="347">
        <v>2.2799999999999998</v>
      </c>
      <c r="DH38" s="348">
        <v>1.68</v>
      </c>
      <c r="DI38" s="345">
        <v>1.68</v>
      </c>
      <c r="DJ38" s="349">
        <v>3.51</v>
      </c>
      <c r="DK38" s="348">
        <v>2.74</v>
      </c>
      <c r="DL38" s="345">
        <v>2.74</v>
      </c>
      <c r="DM38" s="349">
        <v>2.5099999999999998</v>
      </c>
      <c r="DN38" s="348">
        <v>1.85</v>
      </c>
      <c r="DO38" s="345">
        <v>1.85</v>
      </c>
      <c r="DP38" s="348">
        <v>3.86</v>
      </c>
      <c r="DQ38" s="348">
        <v>3.01</v>
      </c>
      <c r="DR38" s="348">
        <v>3.01</v>
      </c>
      <c r="DS38" s="347">
        <v>2.75</v>
      </c>
      <c r="DT38" s="344">
        <v>1.7</v>
      </c>
    </row>
    <row r="39" spans="1:124">
      <c r="A39" s="59">
        <v>68</v>
      </c>
      <c r="B39" s="473">
        <f>IF(Premium!$C$7="FL",IF(Premium!$C$26="No",CD43,DA43),AZ43)</f>
        <v>120.09</v>
      </c>
      <c r="C39" s="473">
        <f>IF(Premium!$C$7="FL",IF(Premium!$C$26="No",CE43,DB43),BA43)</f>
        <v>142.91</v>
      </c>
      <c r="D39" s="473">
        <f>IF(Premium!$C$7="FL",IF(Premium!$C$26="No",CF43,DC43),BB43)</f>
        <v>183.14</v>
      </c>
      <c r="E39" s="473">
        <f>IF(Premium!$C$7="FL",IF(Premium!$C$26="No",CG43,DD43),BC43)</f>
        <v>215.91</v>
      </c>
      <c r="F39" s="473">
        <f>IF(Premium!$C$7="FL",IF(Premium!$C$26="No",CH43,DE43),BD43)</f>
        <v>183.14</v>
      </c>
      <c r="G39" s="473">
        <f>IF(Premium!$C$7="FL",IF(Premium!$C$26="No",CI43,DF43),BE43)</f>
        <v>215.91</v>
      </c>
      <c r="H39" s="15"/>
      <c r="I39" s="92">
        <f t="shared" si="2"/>
        <v>1.81</v>
      </c>
      <c r="J39" s="93">
        <f t="shared" si="0"/>
        <v>15.67</v>
      </c>
      <c r="K39" s="60"/>
      <c r="L39" s="92">
        <f>IF(Premium!$C$7="FL",IF(Premium!$C$26="No",CJ43,DG43),BH43)</f>
        <v>2.9</v>
      </c>
      <c r="M39" s="98">
        <f>IF(Premium!$C$7="FL",IF(Premium!$C$26="No",CK43,DH43),BI43)</f>
        <v>1.7</v>
      </c>
      <c r="N39" s="106">
        <f>IF(Premium!$C$7="FL",IF(Premium!$C$26="No",CL43,DI43),BJ43)</f>
        <v>1.7</v>
      </c>
      <c r="O39" s="103">
        <f>IF(Premium!$C$7="FL",IF(Premium!$C$26="No",CM43,DJ43),BK43)</f>
        <v>4.7</v>
      </c>
      <c r="P39" s="98">
        <f>IF(Premium!$C$7="FL",IF(Premium!$C$26="No",CN43,DK43),BL43)</f>
        <v>2.91</v>
      </c>
      <c r="Q39" s="106">
        <f>IF(Premium!$C$7="FL",IF(Premium!$C$26="No",CO43,DL43),BM43)</f>
        <v>2.91</v>
      </c>
      <c r="R39" s="108">
        <f>IF(Premium!$C$7="FL",IF(Premium!$C$26="No",CP43,DM43),BN43)</f>
        <v>3.19</v>
      </c>
      <c r="S39" s="98">
        <f>IF(Premium!$C$7="FL",IF(Premium!$C$26="No",CQ43,DN43),BO43)</f>
        <v>1.87</v>
      </c>
      <c r="T39" s="106">
        <f>IF(Premium!$C$7="FL",IF(Premium!$C$26="No",CR43,DO43),BP43)</f>
        <v>1.87</v>
      </c>
      <c r="U39" s="103">
        <f>IF(Premium!$C$7="FL",IF(Premium!$C$26="No",CS43,DP43),BQ43)</f>
        <v>5.17</v>
      </c>
      <c r="V39" s="98">
        <f>IF(Premium!$C$7="FL",IF(Premium!$C$26="No",CT43,DQ43),BR43)</f>
        <v>3.2</v>
      </c>
      <c r="W39" s="99">
        <f>IF(Premium!$C$7="FL",IF(Premium!$C$26="No",CU43,DR43),BS43)</f>
        <v>3.2</v>
      </c>
      <c r="X39" s="15"/>
      <c r="Y39" s="108">
        <f>IF(Premium!$C$7="FL",IF(Premium!$C$26="No",CV43,DS43),BT43)</f>
        <v>2.08</v>
      </c>
      <c r="Z39" s="106">
        <f>IF(Premium!$C$7="FL",IF(Premium!$C$26="No",CW43,DT43),BU43)</f>
        <v>1.49</v>
      </c>
      <c r="AA39" s="103">
        <f t="shared" ref="AA39:AE39" si="30">BV43</f>
        <v>2.36</v>
      </c>
      <c r="AB39" s="106">
        <f t="shared" si="30"/>
        <v>1.68</v>
      </c>
      <c r="AC39" s="15">
        <f t="shared" si="30"/>
        <v>1.25</v>
      </c>
      <c r="AD39" s="111">
        <f t="shared" si="30"/>
        <v>0.13400000000000001</v>
      </c>
      <c r="AE39" s="112">
        <f t="shared" si="30"/>
        <v>4.7E-2</v>
      </c>
      <c r="AK39" s="182"/>
      <c r="AL39" s="182"/>
      <c r="AM39" s="182"/>
      <c r="AN39" s="182"/>
      <c r="AY39" s="342">
        <v>64</v>
      </c>
      <c r="AZ39" s="343">
        <v>86.75</v>
      </c>
      <c r="BA39" s="344">
        <v>104.45</v>
      </c>
      <c r="BB39" s="343">
        <v>133.91</v>
      </c>
      <c r="BC39" s="344">
        <v>159.15</v>
      </c>
      <c r="BD39" s="343">
        <v>133.91</v>
      </c>
      <c r="BE39" s="344">
        <v>159.15</v>
      </c>
      <c r="BF39" s="345">
        <v>1.94</v>
      </c>
      <c r="BG39" s="346">
        <v>17.809999999999999</v>
      </c>
      <c r="BH39" s="347">
        <v>2.39</v>
      </c>
      <c r="BI39" s="348">
        <v>1.69</v>
      </c>
      <c r="BJ39" s="345">
        <v>1.69</v>
      </c>
      <c r="BK39" s="349">
        <v>3.72</v>
      </c>
      <c r="BL39" s="348">
        <v>2.77</v>
      </c>
      <c r="BM39" s="345">
        <v>2.77</v>
      </c>
      <c r="BN39" s="349">
        <v>2.63</v>
      </c>
      <c r="BO39" s="348">
        <v>1.86</v>
      </c>
      <c r="BP39" s="345">
        <v>1.86</v>
      </c>
      <c r="BQ39" s="348">
        <v>4.09</v>
      </c>
      <c r="BR39" s="348">
        <v>3.05</v>
      </c>
      <c r="BS39" s="348">
        <v>3.05</v>
      </c>
      <c r="BT39" s="347">
        <v>2.6</v>
      </c>
      <c r="BU39" s="344">
        <v>1.65</v>
      </c>
      <c r="BV39" s="347">
        <v>2.96</v>
      </c>
      <c r="BW39" s="344">
        <v>1.89</v>
      </c>
      <c r="BX39" s="343">
        <v>1.25</v>
      </c>
      <c r="BY39" s="350">
        <v>0.16500000000000001</v>
      </c>
      <c r="BZ39" s="351">
        <v>0.06</v>
      </c>
      <c r="CC39" s="342">
        <v>64</v>
      </c>
      <c r="CD39" s="343">
        <v>112.78</v>
      </c>
      <c r="CE39" s="344">
        <v>135.79</v>
      </c>
      <c r="CF39" s="343">
        <v>189.75</v>
      </c>
      <c r="CG39" s="344">
        <v>225.52</v>
      </c>
      <c r="CH39" s="343">
        <v>189.75</v>
      </c>
      <c r="CI39" s="344">
        <v>225.52</v>
      </c>
      <c r="CJ39" s="347">
        <v>2.39</v>
      </c>
      <c r="CK39" s="348">
        <v>1.69</v>
      </c>
      <c r="CL39" s="345">
        <v>1.69</v>
      </c>
      <c r="CM39" s="349">
        <v>3.72</v>
      </c>
      <c r="CN39" s="348">
        <v>2.77</v>
      </c>
      <c r="CO39" s="345">
        <v>2.77</v>
      </c>
      <c r="CP39" s="349">
        <v>2.63</v>
      </c>
      <c r="CQ39" s="348">
        <v>1.86</v>
      </c>
      <c r="CR39" s="345">
        <v>1.86</v>
      </c>
      <c r="CS39" s="348">
        <v>4.09</v>
      </c>
      <c r="CT39" s="348">
        <v>3.05</v>
      </c>
      <c r="CU39" s="348">
        <v>3.05</v>
      </c>
      <c r="CV39" s="347">
        <v>2.6</v>
      </c>
      <c r="CW39" s="344">
        <v>1.65</v>
      </c>
      <c r="CZ39" s="342">
        <v>64</v>
      </c>
      <c r="DA39" s="343">
        <v>107.14</v>
      </c>
      <c r="DB39" s="344">
        <v>129</v>
      </c>
      <c r="DC39" s="343">
        <v>180.25</v>
      </c>
      <c r="DD39" s="344">
        <v>214.24</v>
      </c>
      <c r="DE39" s="343">
        <v>180.25</v>
      </c>
      <c r="DF39" s="344">
        <v>214.24</v>
      </c>
      <c r="DG39" s="347">
        <v>2.39</v>
      </c>
      <c r="DH39" s="348">
        <v>1.69</v>
      </c>
      <c r="DI39" s="345">
        <v>1.69</v>
      </c>
      <c r="DJ39" s="349">
        <v>3.72</v>
      </c>
      <c r="DK39" s="348">
        <v>2.77</v>
      </c>
      <c r="DL39" s="345">
        <v>2.77</v>
      </c>
      <c r="DM39" s="349">
        <v>2.63</v>
      </c>
      <c r="DN39" s="348">
        <v>1.86</v>
      </c>
      <c r="DO39" s="345">
        <v>1.86</v>
      </c>
      <c r="DP39" s="348">
        <v>4.09</v>
      </c>
      <c r="DQ39" s="348">
        <v>3.05</v>
      </c>
      <c r="DR39" s="348">
        <v>3.05</v>
      </c>
      <c r="DS39" s="347">
        <v>2.6</v>
      </c>
      <c r="DT39" s="344">
        <v>1.65</v>
      </c>
    </row>
    <row r="40" spans="1:124">
      <c r="A40" s="59">
        <v>69</v>
      </c>
      <c r="B40" s="473">
        <f>IF(Premium!$C$7="FL",IF(Premium!$C$26="No",CD44,DA44),AZ44)</f>
        <v>130.26</v>
      </c>
      <c r="C40" s="473">
        <f>IF(Premium!$C$7="FL",IF(Premium!$C$26="No",CE44,DB44),BA44)</f>
        <v>154.57</v>
      </c>
      <c r="D40" s="473">
        <f>IF(Premium!$C$7="FL",IF(Premium!$C$26="No",CF44,DC44),BB44)</f>
        <v>198.05</v>
      </c>
      <c r="E40" s="473">
        <f>IF(Premium!$C$7="FL",IF(Premium!$C$26="No",CG44,DD44),BC44)</f>
        <v>233.02</v>
      </c>
      <c r="F40" s="473">
        <f>IF(Premium!$C$7="FL",IF(Premium!$C$26="No",CH44,DE44),BD44)</f>
        <v>198.05</v>
      </c>
      <c r="G40" s="473">
        <f>IF(Premium!$C$7="FL",IF(Premium!$C$26="No",CI44,DF44),BE44)</f>
        <v>233.02</v>
      </c>
      <c r="H40" s="15"/>
      <c r="I40" s="92">
        <f t="shared" si="2"/>
        <v>1.78</v>
      </c>
      <c r="J40" s="93">
        <f t="shared" si="0"/>
        <v>15.18</v>
      </c>
      <c r="K40" s="60"/>
      <c r="L40" s="92">
        <f>IF(Premium!$C$7="FL",IF(Premium!$C$26="No",CJ44,DG44),BH44)</f>
        <v>3.05</v>
      </c>
      <c r="M40" s="98">
        <f>IF(Premium!$C$7="FL",IF(Premium!$C$26="No",CK44,DH44),BI44)</f>
        <v>1.71</v>
      </c>
      <c r="N40" s="106">
        <f>IF(Premium!$C$7="FL",IF(Premium!$C$26="No",CL44,DI44),BJ44)</f>
        <v>1.71</v>
      </c>
      <c r="O40" s="103">
        <f>IF(Premium!$C$7="FL",IF(Premium!$C$26="No",CM44,DJ44),BK44)</f>
        <v>5</v>
      </c>
      <c r="P40" s="98">
        <f>IF(Premium!$C$7="FL",IF(Premium!$C$26="No",CN44,DK44),BL44)</f>
        <v>2.95</v>
      </c>
      <c r="Q40" s="106">
        <f>IF(Premium!$C$7="FL",IF(Premium!$C$26="No",CO44,DL44),BM44)</f>
        <v>2.95</v>
      </c>
      <c r="R40" s="108">
        <f>IF(Premium!$C$7="FL",IF(Premium!$C$26="No",CP44,DM44),BN44)</f>
        <v>3.36</v>
      </c>
      <c r="S40" s="98">
        <f>IF(Premium!$C$7="FL",IF(Premium!$C$26="No",CQ44,DN44),BO44)</f>
        <v>1.88</v>
      </c>
      <c r="T40" s="106">
        <f>IF(Premium!$C$7="FL",IF(Premium!$C$26="No",CR44,DO44),BP44)</f>
        <v>1.88</v>
      </c>
      <c r="U40" s="103">
        <f>IF(Premium!$C$7="FL",IF(Premium!$C$26="No",CS44,DP44),BQ44)</f>
        <v>5.5</v>
      </c>
      <c r="V40" s="98">
        <f>IF(Premium!$C$7="FL",IF(Premium!$C$26="No",CT44,DQ44),BR44)</f>
        <v>3.25</v>
      </c>
      <c r="W40" s="99">
        <f>IF(Premium!$C$7="FL",IF(Premium!$C$26="No",CU44,DR44),BS44)</f>
        <v>3.25</v>
      </c>
      <c r="X40" s="15"/>
      <c r="Y40" s="108">
        <f>IF(Premium!$C$7="FL",IF(Premium!$C$26="No",CV44,DS44),BT44)</f>
        <v>1.97</v>
      </c>
      <c r="Z40" s="106">
        <f>IF(Premium!$C$7="FL",IF(Premium!$C$26="No",CW44,DT44),BU44)</f>
        <v>1.45</v>
      </c>
      <c r="AA40" s="103">
        <f t="shared" ref="AA40:AE40" si="31">BV44</f>
        <v>2.2200000000000002</v>
      </c>
      <c r="AB40" s="106">
        <f t="shared" si="31"/>
        <v>1.64</v>
      </c>
      <c r="AC40" s="15">
        <f t="shared" si="31"/>
        <v>1.25</v>
      </c>
      <c r="AD40" s="111">
        <f t="shared" si="31"/>
        <v>0.127</v>
      </c>
      <c r="AE40" s="112">
        <f t="shared" si="31"/>
        <v>4.3999999999999997E-2</v>
      </c>
      <c r="AK40" s="189">
        <v>40</v>
      </c>
      <c r="AL40" s="190" t="s">
        <v>185</v>
      </c>
      <c r="AM40" s="191">
        <v>1</v>
      </c>
      <c r="AN40" s="182"/>
      <c r="AY40" s="342">
        <v>65</v>
      </c>
      <c r="AZ40" s="343">
        <v>94.09</v>
      </c>
      <c r="BA40" s="344">
        <v>112.97</v>
      </c>
      <c r="BB40" s="343">
        <v>144.82</v>
      </c>
      <c r="BC40" s="344">
        <v>171.76</v>
      </c>
      <c r="BD40" s="343">
        <v>144.82</v>
      </c>
      <c r="BE40" s="344">
        <v>171.76</v>
      </c>
      <c r="BF40" s="345">
        <v>1.9</v>
      </c>
      <c r="BG40" s="346">
        <v>17.25</v>
      </c>
      <c r="BH40" s="347">
        <v>2.5099999999999998</v>
      </c>
      <c r="BI40" s="348">
        <v>1.69</v>
      </c>
      <c r="BJ40" s="345">
        <v>1.69</v>
      </c>
      <c r="BK40" s="349">
        <v>3.94</v>
      </c>
      <c r="BL40" s="348">
        <v>2.81</v>
      </c>
      <c r="BM40" s="345">
        <v>2.81</v>
      </c>
      <c r="BN40" s="349">
        <v>2.76</v>
      </c>
      <c r="BO40" s="348">
        <v>1.86</v>
      </c>
      <c r="BP40" s="345">
        <v>1.86</v>
      </c>
      <c r="BQ40" s="348">
        <v>4.33</v>
      </c>
      <c r="BR40" s="348">
        <v>3.09</v>
      </c>
      <c r="BS40" s="348">
        <v>3.09</v>
      </c>
      <c r="BT40" s="347">
        <v>2.46</v>
      </c>
      <c r="BU40" s="344">
        <v>1.61</v>
      </c>
      <c r="BV40" s="347">
        <v>2.8</v>
      </c>
      <c r="BW40" s="344">
        <v>1.84</v>
      </c>
      <c r="BX40" s="343">
        <v>1.25</v>
      </c>
      <c r="BY40" s="350">
        <v>0.157</v>
      </c>
      <c r="BZ40" s="351">
        <v>5.6000000000000001E-2</v>
      </c>
      <c r="CC40" s="342">
        <v>65</v>
      </c>
      <c r="CD40" s="343">
        <v>122.32</v>
      </c>
      <c r="CE40" s="344">
        <v>146.86000000000001</v>
      </c>
      <c r="CF40" s="343">
        <v>205.21</v>
      </c>
      <c r="CG40" s="344">
        <v>243.39</v>
      </c>
      <c r="CH40" s="343">
        <v>205.21</v>
      </c>
      <c r="CI40" s="344">
        <v>243.39</v>
      </c>
      <c r="CJ40" s="347">
        <v>2.5099999999999998</v>
      </c>
      <c r="CK40" s="348">
        <v>1.69</v>
      </c>
      <c r="CL40" s="345">
        <v>1.69</v>
      </c>
      <c r="CM40" s="349">
        <v>3.94</v>
      </c>
      <c r="CN40" s="348">
        <v>2.81</v>
      </c>
      <c r="CO40" s="345">
        <v>2.81</v>
      </c>
      <c r="CP40" s="349">
        <v>2.76</v>
      </c>
      <c r="CQ40" s="348">
        <v>1.86</v>
      </c>
      <c r="CR40" s="345">
        <v>1.86</v>
      </c>
      <c r="CS40" s="348">
        <v>4.33</v>
      </c>
      <c r="CT40" s="348">
        <v>3.09</v>
      </c>
      <c r="CU40" s="348">
        <v>3.09</v>
      </c>
      <c r="CV40" s="347">
        <v>2.46</v>
      </c>
      <c r="CW40" s="344">
        <v>1.61</v>
      </c>
      <c r="CZ40" s="342">
        <v>65</v>
      </c>
      <c r="DA40" s="343">
        <v>116.2</v>
      </c>
      <c r="DB40" s="344">
        <v>139.51</v>
      </c>
      <c r="DC40" s="343">
        <v>194.95</v>
      </c>
      <c r="DD40" s="344">
        <v>231.21</v>
      </c>
      <c r="DE40" s="343">
        <v>194.95</v>
      </c>
      <c r="DF40" s="344">
        <v>231.21</v>
      </c>
      <c r="DG40" s="347">
        <v>2.5099999999999998</v>
      </c>
      <c r="DH40" s="348">
        <v>1.69</v>
      </c>
      <c r="DI40" s="345">
        <v>1.69</v>
      </c>
      <c r="DJ40" s="349">
        <v>3.94</v>
      </c>
      <c r="DK40" s="348">
        <v>2.81</v>
      </c>
      <c r="DL40" s="345">
        <v>2.81</v>
      </c>
      <c r="DM40" s="349">
        <v>2.76</v>
      </c>
      <c r="DN40" s="348">
        <v>1.86</v>
      </c>
      <c r="DO40" s="345">
        <v>1.86</v>
      </c>
      <c r="DP40" s="348">
        <v>4.33</v>
      </c>
      <c r="DQ40" s="348">
        <v>3.09</v>
      </c>
      <c r="DR40" s="348">
        <v>3.09</v>
      </c>
      <c r="DS40" s="347">
        <v>2.46</v>
      </c>
      <c r="DT40" s="344">
        <v>1.61</v>
      </c>
    </row>
    <row r="41" spans="1:124">
      <c r="A41" s="59">
        <v>70</v>
      </c>
      <c r="B41" s="473">
        <f>IF(Premium!$C$7="FL",IF(Premium!$C$26="No",CD45,DA45),AZ45)</f>
        <v>141.30000000000001</v>
      </c>
      <c r="C41" s="473">
        <f>IF(Premium!$C$7="FL",IF(Premium!$C$26="No",CE45,DB45),BA45)</f>
        <v>167.17</v>
      </c>
      <c r="D41" s="473">
        <f>IF(Premium!$C$7="FL",IF(Premium!$C$26="No",CF45,DC45),BB45)</f>
        <v>214.17</v>
      </c>
      <c r="E41" s="473">
        <f>IF(Premium!$C$7="FL",IF(Premium!$C$26="No",CG45,DD45),BC45)</f>
        <v>251.48</v>
      </c>
      <c r="F41" s="473">
        <f>IF(Premium!$C$7="FL",IF(Premium!$C$26="No",CH45,DE45),BD45)</f>
        <v>214.17</v>
      </c>
      <c r="G41" s="473">
        <f>IF(Premium!$C$7="FL",IF(Premium!$C$26="No",CI45,DF45),BE45)</f>
        <v>251.48</v>
      </c>
      <c r="H41" s="15"/>
      <c r="I41" s="92">
        <f t="shared" si="2"/>
        <v>1.75</v>
      </c>
      <c r="J41" s="93">
        <f t="shared" si="0"/>
        <v>14.7</v>
      </c>
      <c r="K41" s="60"/>
      <c r="L41" s="92">
        <f>IF(Premium!$C$7="FL",IF(Premium!$C$26="No",CJ45,DG45),BH45)</f>
        <v>3.2</v>
      </c>
      <c r="M41" s="98">
        <f>IF(Premium!$C$7="FL",IF(Premium!$C$26="No",CK45,DH45),BI45)</f>
        <v>1.72</v>
      </c>
      <c r="N41" s="106">
        <f>IF(Premium!$C$7="FL",IF(Premium!$C$26="No",CL45,DI45),BJ45)</f>
        <v>1.72</v>
      </c>
      <c r="O41" s="103">
        <f>IF(Premium!$C$7="FL",IF(Premium!$C$26="No",CM45,DJ45),BK45)</f>
        <v>5.29</v>
      </c>
      <c r="P41" s="98">
        <f>IF(Premium!$C$7="FL",IF(Premium!$C$26="No",CN45,DK45),BL45)</f>
        <v>2.99</v>
      </c>
      <c r="Q41" s="106">
        <f>IF(Premium!$C$7="FL",IF(Premium!$C$26="No",CO45,DL45),BM45)</f>
        <v>2.99</v>
      </c>
      <c r="R41" s="108">
        <f>IF(Premium!$C$7="FL",IF(Premium!$C$26="No",CP45,DM45),BN45)</f>
        <v>3.52</v>
      </c>
      <c r="S41" s="98">
        <f>IF(Premium!$C$7="FL",IF(Premium!$C$26="No",CQ45,DN45),BO45)</f>
        <v>1.89</v>
      </c>
      <c r="T41" s="106">
        <f>IF(Premium!$C$7="FL",IF(Premium!$C$26="No",CR45,DO45),BP45)</f>
        <v>1.89</v>
      </c>
      <c r="U41" s="103">
        <f>IF(Premium!$C$7="FL",IF(Premium!$C$26="No",CS45,DP45),BQ45)</f>
        <v>5.82</v>
      </c>
      <c r="V41" s="98">
        <f>IF(Premium!$C$7="FL",IF(Premium!$C$26="No",CT45,DQ45),BR45)</f>
        <v>3.29</v>
      </c>
      <c r="W41" s="99">
        <f>IF(Premium!$C$7="FL",IF(Premium!$C$26="No",CU45,DR45),BS45)</f>
        <v>3.29</v>
      </c>
      <c r="X41" s="15"/>
      <c r="Y41" s="108">
        <f>IF(Premium!$C$7="FL",IF(Premium!$C$26="No",CV45,DS45),BT45)</f>
        <v>1.86</v>
      </c>
      <c r="Z41" s="106">
        <f>IF(Premium!$C$7="FL",IF(Premium!$C$26="No",CW45,DT45),BU45)</f>
        <v>1.41</v>
      </c>
      <c r="AA41" s="103">
        <f t="shared" ref="AA41:AE41" si="32">BV45</f>
        <v>2.1</v>
      </c>
      <c r="AB41" s="106">
        <f t="shared" si="32"/>
        <v>1.59</v>
      </c>
      <c r="AC41" s="15">
        <f t="shared" si="32"/>
        <v>1.25</v>
      </c>
      <c r="AD41" s="111">
        <f t="shared" si="32"/>
        <v>0.12</v>
      </c>
      <c r="AE41" s="112">
        <f t="shared" si="32"/>
        <v>4.1000000000000002E-2</v>
      </c>
      <c r="AK41" s="189">
        <v>45</v>
      </c>
      <c r="AL41" s="190" t="s">
        <v>186</v>
      </c>
      <c r="AM41" s="191">
        <v>0.95</v>
      </c>
      <c r="AN41" s="182"/>
      <c r="AY41" s="342">
        <v>66</v>
      </c>
      <c r="AZ41" s="343">
        <v>102.07</v>
      </c>
      <c r="BA41" s="344">
        <v>122.18</v>
      </c>
      <c r="BB41" s="343">
        <v>156.6</v>
      </c>
      <c r="BC41" s="344">
        <v>185.37</v>
      </c>
      <c r="BD41" s="343">
        <v>156.6</v>
      </c>
      <c r="BE41" s="344">
        <v>185.37</v>
      </c>
      <c r="BF41" s="345">
        <v>1.87</v>
      </c>
      <c r="BG41" s="346">
        <v>16.71</v>
      </c>
      <c r="BH41" s="347">
        <v>2.63</v>
      </c>
      <c r="BI41" s="348">
        <v>1.7</v>
      </c>
      <c r="BJ41" s="345">
        <v>1.7</v>
      </c>
      <c r="BK41" s="349">
        <v>4.18</v>
      </c>
      <c r="BL41" s="348">
        <v>2.84</v>
      </c>
      <c r="BM41" s="345">
        <v>2.84</v>
      </c>
      <c r="BN41" s="349">
        <v>2.89</v>
      </c>
      <c r="BO41" s="348">
        <v>1.87</v>
      </c>
      <c r="BP41" s="345">
        <v>1.87</v>
      </c>
      <c r="BQ41" s="348">
        <v>4.5999999999999996</v>
      </c>
      <c r="BR41" s="348">
        <v>3.12</v>
      </c>
      <c r="BS41" s="348">
        <v>3.12</v>
      </c>
      <c r="BT41" s="347">
        <v>2.33</v>
      </c>
      <c r="BU41" s="344">
        <v>1.57</v>
      </c>
      <c r="BV41" s="347">
        <v>2.64</v>
      </c>
      <c r="BW41" s="344">
        <v>1.78</v>
      </c>
      <c r="BX41" s="343">
        <v>1.25</v>
      </c>
      <c r="BY41" s="350">
        <v>0.14899999999999999</v>
      </c>
      <c r="BZ41" s="351">
        <v>5.2999999999999999E-2</v>
      </c>
      <c r="CC41" s="342">
        <v>66</v>
      </c>
      <c r="CD41" s="343">
        <v>132.69</v>
      </c>
      <c r="CE41" s="344">
        <v>158.83000000000001</v>
      </c>
      <c r="CF41" s="343">
        <v>221.9</v>
      </c>
      <c r="CG41" s="344">
        <v>262.67</v>
      </c>
      <c r="CH41" s="343">
        <v>221.9</v>
      </c>
      <c r="CI41" s="344">
        <v>262.67</v>
      </c>
      <c r="CJ41" s="347">
        <v>2.63</v>
      </c>
      <c r="CK41" s="348">
        <v>1.7</v>
      </c>
      <c r="CL41" s="345">
        <v>1.7</v>
      </c>
      <c r="CM41" s="349">
        <v>4.18</v>
      </c>
      <c r="CN41" s="348">
        <v>2.84</v>
      </c>
      <c r="CO41" s="345">
        <v>2.84</v>
      </c>
      <c r="CP41" s="349">
        <v>2.89</v>
      </c>
      <c r="CQ41" s="348">
        <v>1.87</v>
      </c>
      <c r="CR41" s="345">
        <v>1.87</v>
      </c>
      <c r="CS41" s="348">
        <v>4.5999999999999996</v>
      </c>
      <c r="CT41" s="348">
        <v>3.12</v>
      </c>
      <c r="CU41" s="348">
        <v>3.12</v>
      </c>
      <c r="CV41" s="347">
        <v>2.33</v>
      </c>
      <c r="CW41" s="344">
        <v>1.57</v>
      </c>
      <c r="CZ41" s="342">
        <v>66</v>
      </c>
      <c r="DA41" s="343">
        <v>126.05</v>
      </c>
      <c r="DB41" s="344">
        <v>150.88</v>
      </c>
      <c r="DC41" s="343">
        <v>210.81</v>
      </c>
      <c r="DD41" s="344">
        <v>249.53</v>
      </c>
      <c r="DE41" s="343">
        <v>210.81</v>
      </c>
      <c r="DF41" s="344">
        <v>249.53</v>
      </c>
      <c r="DG41" s="347">
        <v>2.63</v>
      </c>
      <c r="DH41" s="348">
        <v>1.7</v>
      </c>
      <c r="DI41" s="345">
        <v>1.7</v>
      </c>
      <c r="DJ41" s="349">
        <v>4.18</v>
      </c>
      <c r="DK41" s="348">
        <v>2.84</v>
      </c>
      <c r="DL41" s="345">
        <v>2.84</v>
      </c>
      <c r="DM41" s="349">
        <v>2.89</v>
      </c>
      <c r="DN41" s="348">
        <v>1.87</v>
      </c>
      <c r="DO41" s="345">
        <v>1.87</v>
      </c>
      <c r="DP41" s="348">
        <v>4.5999999999999996</v>
      </c>
      <c r="DQ41" s="348">
        <v>3.12</v>
      </c>
      <c r="DR41" s="348">
        <v>3.12</v>
      </c>
      <c r="DS41" s="347">
        <v>2.33</v>
      </c>
      <c r="DT41" s="344">
        <v>1.57</v>
      </c>
    </row>
    <row r="42" spans="1:124">
      <c r="A42" s="59">
        <v>71</v>
      </c>
      <c r="B42" s="473">
        <f>IF(Premium!$C$7="FL",IF(Premium!$C$26="No",CD46,DA46),AZ46)</f>
        <v>157.69999999999999</v>
      </c>
      <c r="C42" s="473">
        <f>IF(Premium!$C$7="FL",IF(Premium!$C$26="No",CE46,DB46),BA46)</f>
        <v>186.16</v>
      </c>
      <c r="D42" s="473">
        <f>IF(Premium!$C$7="FL",IF(Premium!$C$26="No",CF46,DC46),BB46)</f>
        <v>234.9</v>
      </c>
      <c r="E42" s="473">
        <f>IF(Premium!$C$7="FL",IF(Premium!$C$26="No",CG46,DD46),BC46)</f>
        <v>275.26</v>
      </c>
      <c r="F42" s="473">
        <f>IF(Premium!$C$7="FL",IF(Premium!$C$26="No",CH46,DE46),BD46)</f>
        <v>234.9</v>
      </c>
      <c r="G42" s="473">
        <f>IF(Premium!$C$7="FL",IF(Premium!$C$26="No",CI46,DF46),BE46)</f>
        <v>275.26</v>
      </c>
      <c r="H42" s="15"/>
      <c r="I42" s="92">
        <f t="shared" si="2"/>
        <v>1.71</v>
      </c>
      <c r="J42" s="93">
        <f t="shared" si="0"/>
        <v>14.39</v>
      </c>
      <c r="K42" s="60"/>
      <c r="L42" s="92">
        <f>IF(Premium!$C$7="FL",IF(Premium!$C$26="No",CJ46,DG46),BH46)</f>
        <v>3.37</v>
      </c>
      <c r="M42" s="98">
        <f>IF(Premium!$C$7="FL",IF(Premium!$C$26="No",CK46,DH46),BI46)</f>
        <v>1.82</v>
      </c>
      <c r="N42" s="106">
        <f>IF(Premium!$C$7="FL",IF(Premium!$C$26="No",CL46,DI46),BJ46)</f>
        <v>1.82</v>
      </c>
      <c r="O42" s="103">
        <f>IF(Premium!$C$7="FL",IF(Premium!$C$26="No",CM46,DJ46),BK46)</f>
        <v>5.64</v>
      </c>
      <c r="P42" s="98">
        <f>IF(Premium!$C$7="FL",IF(Premium!$C$26="No",CN46,DK46),BL46)</f>
        <v>3.2</v>
      </c>
      <c r="Q42" s="106">
        <f>IF(Premium!$C$7="FL",IF(Premium!$C$26="No",CO46,DL46),BM46)</f>
        <v>3.2</v>
      </c>
      <c r="R42" s="108">
        <f>IF(Premium!$C$7="FL",IF(Premium!$C$26="No",CP46,DM46),BN46)</f>
        <v>3.71</v>
      </c>
      <c r="S42" s="98">
        <f>IF(Premium!$C$7="FL",IF(Premium!$C$26="No",CQ46,DN46),BO46)</f>
        <v>2</v>
      </c>
      <c r="T42" s="106">
        <f>IF(Premium!$C$7="FL",IF(Premium!$C$26="No",CR46,DO46),BP46)</f>
        <v>2</v>
      </c>
      <c r="U42" s="103">
        <f>IF(Premium!$C$7="FL",IF(Premium!$C$26="No",CS46,DP46),BQ46)</f>
        <v>6.2</v>
      </c>
      <c r="V42" s="98">
        <f>IF(Premium!$C$7="FL",IF(Premium!$C$26="No",CT46,DQ46),BR46)</f>
        <v>3.52</v>
      </c>
      <c r="W42" s="99">
        <f>IF(Premium!$C$7="FL",IF(Premium!$C$26="No",CU46,DR46),BS46)</f>
        <v>3.52</v>
      </c>
      <c r="X42" s="15"/>
      <c r="Y42" s="108">
        <f>IF(Premium!$C$7="FL",IF(Premium!$C$26="No",CV46,DS46),BT46)</f>
        <v>1.81</v>
      </c>
      <c r="Z42" s="106">
        <f>IF(Premium!$C$7="FL",IF(Premium!$C$26="No",CW46,DT46),BU46)</f>
        <v>1.39</v>
      </c>
      <c r="AA42" s="103">
        <f t="shared" ref="AA42:AE42" si="33">BV46</f>
        <v>2.0299999999999998</v>
      </c>
      <c r="AB42" s="106">
        <f t="shared" si="33"/>
        <v>1.56</v>
      </c>
      <c r="AC42" s="15">
        <f t="shared" si="33"/>
        <v>1.25</v>
      </c>
      <c r="AD42" s="111">
        <f t="shared" si="33"/>
        <v>0.11</v>
      </c>
      <c r="AE42" s="112">
        <f t="shared" si="33"/>
        <v>3.7999999999999999E-2</v>
      </c>
      <c r="AK42" s="189">
        <v>50</v>
      </c>
      <c r="AL42" s="190" t="s">
        <v>187</v>
      </c>
      <c r="AM42" s="191">
        <v>0.9</v>
      </c>
      <c r="AN42" s="182"/>
      <c r="AY42" s="342">
        <v>67</v>
      </c>
      <c r="AZ42" s="343">
        <v>110.71</v>
      </c>
      <c r="BA42" s="344">
        <v>132.13999999999999</v>
      </c>
      <c r="BB42" s="343">
        <v>169.35</v>
      </c>
      <c r="BC42" s="344">
        <v>200.06</v>
      </c>
      <c r="BD42" s="343">
        <v>169.35</v>
      </c>
      <c r="BE42" s="344">
        <v>200.06</v>
      </c>
      <c r="BF42" s="345">
        <v>1.84</v>
      </c>
      <c r="BG42" s="346">
        <v>16.18</v>
      </c>
      <c r="BH42" s="347">
        <v>2.77</v>
      </c>
      <c r="BI42" s="348">
        <v>1.71</v>
      </c>
      <c r="BJ42" s="345">
        <v>1.71</v>
      </c>
      <c r="BK42" s="349">
        <v>4.4400000000000004</v>
      </c>
      <c r="BL42" s="348">
        <v>2.88</v>
      </c>
      <c r="BM42" s="345">
        <v>2.88</v>
      </c>
      <c r="BN42" s="349">
        <v>3.05</v>
      </c>
      <c r="BO42" s="348">
        <v>1.88</v>
      </c>
      <c r="BP42" s="345">
        <v>1.88</v>
      </c>
      <c r="BQ42" s="348">
        <v>4.88</v>
      </c>
      <c r="BR42" s="348">
        <v>3.17</v>
      </c>
      <c r="BS42" s="348">
        <v>3.17</v>
      </c>
      <c r="BT42" s="347">
        <v>2.2000000000000002</v>
      </c>
      <c r="BU42" s="344">
        <v>1.53</v>
      </c>
      <c r="BV42" s="347">
        <v>2.4900000000000002</v>
      </c>
      <c r="BW42" s="344">
        <v>1.73</v>
      </c>
      <c r="BX42" s="343">
        <v>1.25</v>
      </c>
      <c r="BY42" s="350">
        <v>0.14099999999999999</v>
      </c>
      <c r="BZ42" s="351">
        <v>0.05</v>
      </c>
      <c r="CC42" s="342">
        <v>67</v>
      </c>
      <c r="CD42" s="343">
        <v>143.91999999999999</v>
      </c>
      <c r="CE42" s="344">
        <v>171.78</v>
      </c>
      <c r="CF42" s="343">
        <v>239.97</v>
      </c>
      <c r="CG42" s="344">
        <v>283.49</v>
      </c>
      <c r="CH42" s="343">
        <v>239.97</v>
      </c>
      <c r="CI42" s="344">
        <v>283.49</v>
      </c>
      <c r="CJ42" s="347">
        <v>2.77</v>
      </c>
      <c r="CK42" s="348">
        <v>1.71</v>
      </c>
      <c r="CL42" s="345">
        <v>1.71</v>
      </c>
      <c r="CM42" s="349">
        <v>4.4400000000000004</v>
      </c>
      <c r="CN42" s="348">
        <v>2.88</v>
      </c>
      <c r="CO42" s="345">
        <v>2.88</v>
      </c>
      <c r="CP42" s="349">
        <v>3.05</v>
      </c>
      <c r="CQ42" s="348">
        <v>1.88</v>
      </c>
      <c r="CR42" s="345">
        <v>1.88</v>
      </c>
      <c r="CS42" s="348">
        <v>4.88</v>
      </c>
      <c r="CT42" s="348">
        <v>3.17</v>
      </c>
      <c r="CU42" s="348">
        <v>3.17</v>
      </c>
      <c r="CV42" s="347">
        <v>2.2000000000000002</v>
      </c>
      <c r="CW42" s="344">
        <v>1.53</v>
      </c>
      <c r="CZ42" s="342">
        <v>67</v>
      </c>
      <c r="DA42" s="343">
        <v>136.72</v>
      </c>
      <c r="DB42" s="344">
        <v>163.19</v>
      </c>
      <c r="DC42" s="343">
        <v>227.97</v>
      </c>
      <c r="DD42" s="344">
        <v>269.31</v>
      </c>
      <c r="DE42" s="343">
        <v>227.97</v>
      </c>
      <c r="DF42" s="344">
        <v>269.31</v>
      </c>
      <c r="DG42" s="347">
        <v>2.77</v>
      </c>
      <c r="DH42" s="348">
        <v>1.71</v>
      </c>
      <c r="DI42" s="345">
        <v>1.71</v>
      </c>
      <c r="DJ42" s="349">
        <v>4.4400000000000004</v>
      </c>
      <c r="DK42" s="348">
        <v>2.88</v>
      </c>
      <c r="DL42" s="345">
        <v>2.88</v>
      </c>
      <c r="DM42" s="349">
        <v>3.05</v>
      </c>
      <c r="DN42" s="348">
        <v>1.88</v>
      </c>
      <c r="DO42" s="345">
        <v>1.88</v>
      </c>
      <c r="DP42" s="348">
        <v>4.88</v>
      </c>
      <c r="DQ42" s="348">
        <v>3.17</v>
      </c>
      <c r="DR42" s="348">
        <v>3.17</v>
      </c>
      <c r="DS42" s="347">
        <v>2.2000000000000002</v>
      </c>
      <c r="DT42" s="344">
        <v>1.53</v>
      </c>
    </row>
    <row r="43" spans="1:124">
      <c r="A43" s="59">
        <v>72</v>
      </c>
      <c r="B43" s="473">
        <f>IF(Premium!$C$7="FL",IF(Premium!$C$26="No",CD47,DA47),AZ47)</f>
        <v>176.01</v>
      </c>
      <c r="C43" s="473">
        <f>IF(Premium!$C$7="FL",IF(Premium!$C$26="No",CE47,DB47),BA47)</f>
        <v>207.3</v>
      </c>
      <c r="D43" s="473">
        <f>IF(Premium!$C$7="FL",IF(Premium!$C$26="No",CF47,DC47),BB47)</f>
        <v>257.63</v>
      </c>
      <c r="E43" s="473">
        <f>IF(Premium!$C$7="FL",IF(Premium!$C$26="No",CG47,DD47),BC47)</f>
        <v>301.27999999999997</v>
      </c>
      <c r="F43" s="473">
        <f>IF(Premium!$C$7="FL",IF(Premium!$C$26="No",CH47,DE47),BD47)</f>
        <v>257.63</v>
      </c>
      <c r="G43" s="473">
        <f>IF(Premium!$C$7="FL",IF(Premium!$C$26="No",CI47,DF47),BE47)</f>
        <v>301.27999999999997</v>
      </c>
      <c r="H43" s="15"/>
      <c r="I43" s="92">
        <f t="shared" si="2"/>
        <v>1.67</v>
      </c>
      <c r="J43" s="93">
        <f t="shared" si="0"/>
        <v>14.09</v>
      </c>
      <c r="K43" s="60"/>
      <c r="L43" s="92">
        <f>IF(Premium!$C$7="FL",IF(Premium!$C$26="No",CJ47,DG47),BH47)</f>
        <v>3.54</v>
      </c>
      <c r="M43" s="98">
        <f>IF(Premium!$C$7="FL",IF(Premium!$C$26="No",CK47,DH47),BI47)</f>
        <v>1.91</v>
      </c>
      <c r="N43" s="106">
        <f>IF(Premium!$C$7="FL",IF(Premium!$C$26="No",CL47,DI47),BJ47)</f>
        <v>1.91</v>
      </c>
      <c r="O43" s="103">
        <f>IF(Premium!$C$7="FL",IF(Premium!$C$26="No",CM47,DJ47),BK47)</f>
        <v>6.02</v>
      </c>
      <c r="P43" s="98">
        <f>IF(Premium!$C$7="FL",IF(Premium!$C$26="No",CN47,DK47),BL47)</f>
        <v>3.42</v>
      </c>
      <c r="Q43" s="106">
        <f>IF(Premium!$C$7="FL",IF(Premium!$C$26="No",CO47,DL47),BM47)</f>
        <v>3.42</v>
      </c>
      <c r="R43" s="108">
        <f>IF(Premium!$C$7="FL",IF(Premium!$C$26="No",CP47,DM47),BN47)</f>
        <v>3.89</v>
      </c>
      <c r="S43" s="98">
        <f>IF(Premium!$C$7="FL",IF(Premium!$C$26="No",CQ47,DN47),BO47)</f>
        <v>2.1</v>
      </c>
      <c r="T43" s="106">
        <f>IF(Premium!$C$7="FL",IF(Premium!$C$26="No",CR47,DO47),BP47)</f>
        <v>2.1</v>
      </c>
      <c r="U43" s="103">
        <f>IF(Premium!$C$7="FL",IF(Premium!$C$26="No",CS47,DP47),BQ47)</f>
        <v>6.62</v>
      </c>
      <c r="V43" s="98">
        <f>IF(Premium!$C$7="FL",IF(Premium!$C$26="No",CT47,DQ47),BR47)</f>
        <v>3.76</v>
      </c>
      <c r="W43" s="99">
        <f>IF(Premium!$C$7="FL",IF(Premium!$C$26="No",CU47,DR47),BS47)</f>
        <v>3.76</v>
      </c>
      <c r="X43" s="15"/>
      <c r="Y43" s="108">
        <f>IF(Premium!$C$7="FL",IF(Premium!$C$26="No",CV47,DS47),BT47)</f>
        <v>1.75</v>
      </c>
      <c r="Z43" s="106">
        <f>IF(Premium!$C$7="FL",IF(Premium!$C$26="No",CW47,DT47),BU47)</f>
        <v>1.37</v>
      </c>
      <c r="AA43" s="103">
        <f t="shared" ref="AA43:AE43" si="34">BV47</f>
        <v>1.96</v>
      </c>
      <c r="AB43" s="106">
        <f t="shared" si="34"/>
        <v>1.53</v>
      </c>
      <c r="AC43" s="15">
        <f t="shared" si="34"/>
        <v>1.25</v>
      </c>
      <c r="AD43" s="111">
        <f t="shared" si="34"/>
        <v>0.10199999999999999</v>
      </c>
      <c r="AE43" s="112">
        <f t="shared" si="34"/>
        <v>3.5000000000000003E-2</v>
      </c>
      <c r="AK43" s="189">
        <v>55</v>
      </c>
      <c r="AL43" s="190" t="s">
        <v>188</v>
      </c>
      <c r="AM43" s="191">
        <v>0.85</v>
      </c>
      <c r="AN43" s="182"/>
      <c r="AY43" s="342">
        <v>68</v>
      </c>
      <c r="AZ43" s="343">
        <v>120.09</v>
      </c>
      <c r="BA43" s="344">
        <v>142.91</v>
      </c>
      <c r="BB43" s="343">
        <v>183.14</v>
      </c>
      <c r="BC43" s="344">
        <v>215.91</v>
      </c>
      <c r="BD43" s="343">
        <v>183.14</v>
      </c>
      <c r="BE43" s="344">
        <v>215.91</v>
      </c>
      <c r="BF43" s="345">
        <v>1.81</v>
      </c>
      <c r="BG43" s="346">
        <v>15.67</v>
      </c>
      <c r="BH43" s="347">
        <v>2.9</v>
      </c>
      <c r="BI43" s="348">
        <v>1.7</v>
      </c>
      <c r="BJ43" s="345">
        <v>1.7</v>
      </c>
      <c r="BK43" s="349">
        <v>4.7</v>
      </c>
      <c r="BL43" s="348">
        <v>2.91</v>
      </c>
      <c r="BM43" s="345">
        <v>2.91</v>
      </c>
      <c r="BN43" s="349">
        <v>3.19</v>
      </c>
      <c r="BO43" s="348">
        <v>1.87</v>
      </c>
      <c r="BP43" s="345">
        <v>1.87</v>
      </c>
      <c r="BQ43" s="348">
        <v>5.17</v>
      </c>
      <c r="BR43" s="348">
        <v>3.2</v>
      </c>
      <c r="BS43" s="348">
        <v>3.2</v>
      </c>
      <c r="BT43" s="347">
        <v>2.08</v>
      </c>
      <c r="BU43" s="344">
        <v>1.49</v>
      </c>
      <c r="BV43" s="347">
        <v>2.36</v>
      </c>
      <c r="BW43" s="344">
        <v>1.68</v>
      </c>
      <c r="BX43" s="343">
        <v>1.25</v>
      </c>
      <c r="BY43" s="350">
        <v>0.13400000000000001</v>
      </c>
      <c r="BZ43" s="351">
        <v>4.7E-2</v>
      </c>
      <c r="CC43" s="342">
        <v>68</v>
      </c>
      <c r="CD43" s="343">
        <v>156.12</v>
      </c>
      <c r="CE43" s="344">
        <v>185.78</v>
      </c>
      <c r="CF43" s="343">
        <v>259.51</v>
      </c>
      <c r="CG43" s="344">
        <v>305.94</v>
      </c>
      <c r="CH43" s="343">
        <v>259.51</v>
      </c>
      <c r="CI43" s="344">
        <v>305.94</v>
      </c>
      <c r="CJ43" s="347">
        <v>2.9</v>
      </c>
      <c r="CK43" s="348">
        <v>1.7</v>
      </c>
      <c r="CL43" s="345">
        <v>1.7</v>
      </c>
      <c r="CM43" s="349">
        <v>4.7</v>
      </c>
      <c r="CN43" s="348">
        <v>2.91</v>
      </c>
      <c r="CO43" s="345">
        <v>2.91</v>
      </c>
      <c r="CP43" s="349">
        <v>3.19</v>
      </c>
      <c r="CQ43" s="348">
        <v>1.87</v>
      </c>
      <c r="CR43" s="345">
        <v>1.87</v>
      </c>
      <c r="CS43" s="348">
        <v>5.17</v>
      </c>
      <c r="CT43" s="348">
        <v>3.2</v>
      </c>
      <c r="CU43" s="348">
        <v>3.2</v>
      </c>
      <c r="CV43" s="347">
        <v>2.08</v>
      </c>
      <c r="CW43" s="344">
        <v>1.49</v>
      </c>
      <c r="CZ43" s="342">
        <v>68</v>
      </c>
      <c r="DA43" s="343">
        <v>148.31</v>
      </c>
      <c r="DB43" s="344">
        <v>176.49</v>
      </c>
      <c r="DC43" s="343">
        <v>246.53</v>
      </c>
      <c r="DD43" s="344">
        <v>290.64</v>
      </c>
      <c r="DE43" s="343">
        <v>246.53</v>
      </c>
      <c r="DF43" s="344">
        <v>290.64</v>
      </c>
      <c r="DG43" s="347">
        <v>2.9</v>
      </c>
      <c r="DH43" s="348">
        <v>1.7</v>
      </c>
      <c r="DI43" s="345">
        <v>1.7</v>
      </c>
      <c r="DJ43" s="349">
        <v>4.7</v>
      </c>
      <c r="DK43" s="348">
        <v>2.91</v>
      </c>
      <c r="DL43" s="345">
        <v>2.91</v>
      </c>
      <c r="DM43" s="349">
        <v>3.19</v>
      </c>
      <c r="DN43" s="348">
        <v>1.87</v>
      </c>
      <c r="DO43" s="345">
        <v>1.87</v>
      </c>
      <c r="DP43" s="348">
        <v>5.17</v>
      </c>
      <c r="DQ43" s="348">
        <v>3.2</v>
      </c>
      <c r="DR43" s="348">
        <v>3.2</v>
      </c>
      <c r="DS43" s="347">
        <v>2.08</v>
      </c>
      <c r="DT43" s="344">
        <v>1.49</v>
      </c>
    </row>
    <row r="44" spans="1:124">
      <c r="A44" s="59">
        <v>73</v>
      </c>
      <c r="B44" s="473">
        <f>IF(Premium!$C$7="FL",IF(Premium!$C$26="No",CD48,DA48),AZ48)</f>
        <v>196.45</v>
      </c>
      <c r="C44" s="473">
        <f>IF(Premium!$C$7="FL",IF(Premium!$C$26="No",CE48,DB48),BA48)</f>
        <v>230.85</v>
      </c>
      <c r="D44" s="473">
        <f>IF(Premium!$C$7="FL",IF(Premium!$C$26="No",CF48,DC48),BB48)</f>
        <v>282.56</v>
      </c>
      <c r="E44" s="473">
        <f>IF(Premium!$C$7="FL",IF(Premium!$C$26="No",CG48,DD48),BC48)</f>
        <v>329.76</v>
      </c>
      <c r="F44" s="473">
        <f>IF(Premium!$C$7="FL",IF(Premium!$C$26="No",CH48,DE48),BD48)</f>
        <v>282.56</v>
      </c>
      <c r="G44" s="473">
        <f>IF(Premium!$C$7="FL",IF(Premium!$C$26="No",CI48,DF48),BE48)</f>
        <v>329.76</v>
      </c>
      <c r="H44" s="15"/>
      <c r="I44" s="92">
        <f t="shared" si="2"/>
        <v>1.64</v>
      </c>
      <c r="J44" s="93">
        <f t="shared" si="0"/>
        <v>13.8</v>
      </c>
      <c r="K44" s="60"/>
      <c r="L44" s="92">
        <f>IF(Premium!$C$7="FL",IF(Premium!$C$26="No",CJ48,DG48),BH48)</f>
        <v>3.73</v>
      </c>
      <c r="M44" s="98">
        <f>IF(Premium!$C$7="FL",IF(Premium!$C$26="No",CK48,DH48),BI48)</f>
        <v>2.0099999999999998</v>
      </c>
      <c r="N44" s="106">
        <f>IF(Premium!$C$7="FL",IF(Premium!$C$26="No",CL48,DI48),BJ48)</f>
        <v>2.0099999999999998</v>
      </c>
      <c r="O44" s="103">
        <f>IF(Premium!$C$7="FL",IF(Premium!$C$26="No",CM48,DJ48),BK48)</f>
        <v>6.41</v>
      </c>
      <c r="P44" s="98">
        <f>IF(Premium!$C$7="FL",IF(Premium!$C$26="No",CN48,DK48),BL48)</f>
        <v>3.65</v>
      </c>
      <c r="Q44" s="106">
        <f>IF(Premium!$C$7="FL",IF(Premium!$C$26="No",CO48,DL48),BM48)</f>
        <v>3.65</v>
      </c>
      <c r="R44" s="108">
        <f>IF(Premium!$C$7="FL",IF(Premium!$C$26="No",CP48,DM48),BN48)</f>
        <v>4.0999999999999996</v>
      </c>
      <c r="S44" s="98">
        <f>IF(Premium!$C$7="FL",IF(Premium!$C$26="No",CQ48,DN48),BO48)</f>
        <v>2.21</v>
      </c>
      <c r="T44" s="106">
        <f>IF(Premium!$C$7="FL",IF(Premium!$C$26="No",CR48,DO48),BP48)</f>
        <v>2.21</v>
      </c>
      <c r="U44" s="103">
        <f>IF(Premium!$C$7="FL",IF(Premium!$C$26="No",CS48,DP48),BQ48)</f>
        <v>7.05</v>
      </c>
      <c r="V44" s="98">
        <f>IF(Premium!$C$7="FL",IF(Premium!$C$26="No",CT48,DQ48),BR48)</f>
        <v>4.0199999999999996</v>
      </c>
      <c r="W44" s="99">
        <f>IF(Premium!$C$7="FL",IF(Premium!$C$26="No",CU48,DR48),BS48)</f>
        <v>4.0199999999999996</v>
      </c>
      <c r="X44" s="15"/>
      <c r="Y44" s="108">
        <f>IF(Premium!$C$7="FL",IF(Premium!$C$26="No",CV48,DS48),BT48)</f>
        <v>1.7</v>
      </c>
      <c r="Z44" s="106">
        <f>IF(Premium!$C$7="FL",IF(Premium!$C$26="No",CW48,DT48),BU48)</f>
        <v>1.35</v>
      </c>
      <c r="AA44" s="103">
        <f t="shared" ref="AA44:AE44" si="35">BV48</f>
        <v>1.9</v>
      </c>
      <c r="AB44" s="106">
        <f t="shared" si="35"/>
        <v>1.5</v>
      </c>
      <c r="AC44" s="15">
        <f t="shared" si="35"/>
        <v>1.25</v>
      </c>
      <c r="AD44" s="111">
        <f t="shared" si="35"/>
        <v>9.2999999999999999E-2</v>
      </c>
      <c r="AE44" s="112">
        <f t="shared" si="35"/>
        <v>3.2000000000000001E-2</v>
      </c>
      <c r="AK44" s="189">
        <v>60</v>
      </c>
      <c r="AL44" s="190" t="s">
        <v>189</v>
      </c>
      <c r="AM44" s="191">
        <v>0.8</v>
      </c>
      <c r="AN44" s="182"/>
      <c r="AY44" s="342">
        <v>69</v>
      </c>
      <c r="AZ44" s="343">
        <v>130.26</v>
      </c>
      <c r="BA44" s="344">
        <v>154.57</v>
      </c>
      <c r="BB44" s="343">
        <v>198.05</v>
      </c>
      <c r="BC44" s="344">
        <v>233.02</v>
      </c>
      <c r="BD44" s="343">
        <v>198.05</v>
      </c>
      <c r="BE44" s="344">
        <v>233.02</v>
      </c>
      <c r="BF44" s="345">
        <v>1.78</v>
      </c>
      <c r="BG44" s="346">
        <v>15.18</v>
      </c>
      <c r="BH44" s="347">
        <v>3.05</v>
      </c>
      <c r="BI44" s="348">
        <v>1.71</v>
      </c>
      <c r="BJ44" s="345">
        <v>1.71</v>
      </c>
      <c r="BK44" s="349">
        <v>5</v>
      </c>
      <c r="BL44" s="348">
        <v>2.95</v>
      </c>
      <c r="BM44" s="345">
        <v>2.95</v>
      </c>
      <c r="BN44" s="349">
        <v>3.36</v>
      </c>
      <c r="BO44" s="348">
        <v>1.88</v>
      </c>
      <c r="BP44" s="345">
        <v>1.88</v>
      </c>
      <c r="BQ44" s="348">
        <v>5.5</v>
      </c>
      <c r="BR44" s="348">
        <v>3.25</v>
      </c>
      <c r="BS44" s="348">
        <v>3.25</v>
      </c>
      <c r="BT44" s="347">
        <v>1.97</v>
      </c>
      <c r="BU44" s="344">
        <v>1.45</v>
      </c>
      <c r="BV44" s="347">
        <v>2.2200000000000002</v>
      </c>
      <c r="BW44" s="344">
        <v>1.64</v>
      </c>
      <c r="BX44" s="343">
        <v>1.25</v>
      </c>
      <c r="BY44" s="350">
        <v>0.127</v>
      </c>
      <c r="BZ44" s="351">
        <v>4.3999999999999997E-2</v>
      </c>
      <c r="CC44" s="342">
        <v>69</v>
      </c>
      <c r="CD44" s="343">
        <v>169.34</v>
      </c>
      <c r="CE44" s="344">
        <v>200.94</v>
      </c>
      <c r="CF44" s="343">
        <v>280.64</v>
      </c>
      <c r="CG44" s="344">
        <v>330.19</v>
      </c>
      <c r="CH44" s="343">
        <v>280.64</v>
      </c>
      <c r="CI44" s="344">
        <v>330.19</v>
      </c>
      <c r="CJ44" s="347">
        <v>3.05</v>
      </c>
      <c r="CK44" s="348">
        <v>1.71</v>
      </c>
      <c r="CL44" s="345">
        <v>1.71</v>
      </c>
      <c r="CM44" s="349">
        <v>5</v>
      </c>
      <c r="CN44" s="348">
        <v>2.95</v>
      </c>
      <c r="CO44" s="345">
        <v>2.95</v>
      </c>
      <c r="CP44" s="349">
        <v>3.36</v>
      </c>
      <c r="CQ44" s="348">
        <v>1.88</v>
      </c>
      <c r="CR44" s="345">
        <v>1.88</v>
      </c>
      <c r="CS44" s="348">
        <v>5.5</v>
      </c>
      <c r="CT44" s="348">
        <v>3.25</v>
      </c>
      <c r="CU44" s="348">
        <v>3.25</v>
      </c>
      <c r="CV44" s="347">
        <v>1.97</v>
      </c>
      <c r="CW44" s="344">
        <v>1.45</v>
      </c>
      <c r="CZ44" s="342">
        <v>69</v>
      </c>
      <c r="DA44" s="343">
        <v>160.87</v>
      </c>
      <c r="DB44" s="344">
        <v>190.89</v>
      </c>
      <c r="DC44" s="343">
        <v>266.60000000000002</v>
      </c>
      <c r="DD44" s="344">
        <v>313.68</v>
      </c>
      <c r="DE44" s="343">
        <v>266.60000000000002</v>
      </c>
      <c r="DF44" s="344">
        <v>313.68</v>
      </c>
      <c r="DG44" s="347">
        <v>3.05</v>
      </c>
      <c r="DH44" s="348">
        <v>1.71</v>
      </c>
      <c r="DI44" s="345">
        <v>1.71</v>
      </c>
      <c r="DJ44" s="349">
        <v>5</v>
      </c>
      <c r="DK44" s="348">
        <v>2.95</v>
      </c>
      <c r="DL44" s="345">
        <v>2.95</v>
      </c>
      <c r="DM44" s="349">
        <v>3.36</v>
      </c>
      <c r="DN44" s="348">
        <v>1.88</v>
      </c>
      <c r="DO44" s="345">
        <v>1.88</v>
      </c>
      <c r="DP44" s="348">
        <v>5.5</v>
      </c>
      <c r="DQ44" s="348">
        <v>3.25</v>
      </c>
      <c r="DR44" s="348">
        <v>3.25</v>
      </c>
      <c r="DS44" s="347">
        <v>1.97</v>
      </c>
      <c r="DT44" s="344">
        <v>1.45</v>
      </c>
    </row>
    <row r="45" spans="1:124">
      <c r="A45" s="59">
        <v>74</v>
      </c>
      <c r="B45" s="473">
        <f>IF(Premium!$C$7="FL",IF(Premium!$C$26="No",CD49,DA49),AZ49)</f>
        <v>219.26</v>
      </c>
      <c r="C45" s="473">
        <f>IF(Premium!$C$7="FL",IF(Premium!$C$26="No",CE49,DB49),BA49)</f>
        <v>257.07</v>
      </c>
      <c r="D45" s="473">
        <f>IF(Premium!$C$7="FL",IF(Premium!$C$26="No",CF49,DC49),BB49)</f>
        <v>309.91000000000003</v>
      </c>
      <c r="E45" s="473">
        <f>IF(Premium!$C$7="FL",IF(Premium!$C$26="No",CG49,DD49),BC49)</f>
        <v>360.94</v>
      </c>
      <c r="F45" s="473">
        <f>IF(Premium!$C$7="FL",IF(Premium!$C$26="No",CH49,DE49),BD49)</f>
        <v>309.91000000000003</v>
      </c>
      <c r="G45" s="473">
        <f>IF(Premium!$C$7="FL",IF(Premium!$C$26="No",CI49,DF49),BE49)</f>
        <v>360.94</v>
      </c>
      <c r="H45" s="15"/>
      <c r="I45" s="92">
        <f t="shared" si="2"/>
        <v>1.6</v>
      </c>
      <c r="J45" s="93">
        <f t="shared" si="0"/>
        <v>13.51</v>
      </c>
      <c r="K45" s="60"/>
      <c r="L45" s="92">
        <f>IF(Premium!$C$7="FL",IF(Premium!$C$26="No",CJ49,DG49),BH49)</f>
        <v>3.93</v>
      </c>
      <c r="M45" s="98">
        <f>IF(Premium!$C$7="FL",IF(Premium!$C$26="No",CK49,DH49),BI49)</f>
        <v>2.13</v>
      </c>
      <c r="N45" s="106">
        <f>IF(Premium!$C$7="FL",IF(Premium!$C$26="No",CL49,DI49),BJ49)</f>
        <v>2.13</v>
      </c>
      <c r="O45" s="103">
        <f>IF(Premium!$C$7="FL",IF(Premium!$C$26="No",CM49,DJ49),BK49)</f>
        <v>6.84</v>
      </c>
      <c r="P45" s="98">
        <f>IF(Premium!$C$7="FL",IF(Premium!$C$26="No",CN49,DK49),BL49)</f>
        <v>3.91</v>
      </c>
      <c r="Q45" s="106">
        <f>IF(Premium!$C$7="FL",IF(Premium!$C$26="No",CO49,DL49),BM49)</f>
        <v>3.91</v>
      </c>
      <c r="R45" s="108">
        <f>IF(Premium!$C$7="FL",IF(Premium!$C$26="No",CP49,DM49),BN49)</f>
        <v>4.32</v>
      </c>
      <c r="S45" s="98">
        <f>IF(Premium!$C$7="FL",IF(Premium!$C$26="No",CQ49,DN49),BO49)</f>
        <v>2.34</v>
      </c>
      <c r="T45" s="106">
        <f>IF(Premium!$C$7="FL",IF(Premium!$C$26="No",CR49,DO49),BP49)</f>
        <v>2.34</v>
      </c>
      <c r="U45" s="103">
        <f>IF(Premium!$C$7="FL",IF(Premium!$C$26="No",CS49,DP49),BQ49)</f>
        <v>7.52</v>
      </c>
      <c r="V45" s="98">
        <f>IF(Premium!$C$7="FL",IF(Premium!$C$26="No",CT49,DQ49),BR49)</f>
        <v>4.3</v>
      </c>
      <c r="W45" s="99">
        <f>IF(Premium!$C$7="FL",IF(Premium!$C$26="No",CU49,DR49),BS49)</f>
        <v>4.3</v>
      </c>
      <c r="X45" s="15"/>
      <c r="Y45" s="108">
        <f>IF(Premium!$C$7="FL",IF(Premium!$C$26="No",CV49,DS49),BT49)</f>
        <v>1.66</v>
      </c>
      <c r="Z45" s="106">
        <f>IF(Premium!$C$7="FL",IF(Premium!$C$26="No",CW49,DT49),BU49)</f>
        <v>1.34</v>
      </c>
      <c r="AA45" s="103">
        <f t="shared" ref="AA45:AE45" si="36">BV49</f>
        <v>1.84</v>
      </c>
      <c r="AB45" s="106">
        <f t="shared" si="36"/>
        <v>1.47</v>
      </c>
      <c r="AC45" s="15">
        <f t="shared" si="36"/>
        <v>1.25</v>
      </c>
      <c r="AD45" s="111">
        <f t="shared" si="36"/>
        <v>8.5999999999999993E-2</v>
      </c>
      <c r="AE45" s="112">
        <f t="shared" si="36"/>
        <v>2.9000000000000001E-2</v>
      </c>
      <c r="AK45" s="189">
        <v>65</v>
      </c>
      <c r="AL45" s="190" t="s">
        <v>190</v>
      </c>
      <c r="AM45" s="191">
        <v>0.75</v>
      </c>
      <c r="AN45" s="182"/>
      <c r="AT45" s="197"/>
      <c r="AU45" s="197"/>
      <c r="AY45" s="342">
        <v>70</v>
      </c>
      <c r="AZ45" s="343">
        <v>141.30000000000001</v>
      </c>
      <c r="BA45" s="344">
        <v>167.17</v>
      </c>
      <c r="BB45" s="343">
        <v>214.17</v>
      </c>
      <c r="BC45" s="344">
        <v>251.48</v>
      </c>
      <c r="BD45" s="343">
        <v>214.17</v>
      </c>
      <c r="BE45" s="344">
        <v>251.48</v>
      </c>
      <c r="BF45" s="345">
        <v>1.75</v>
      </c>
      <c r="BG45" s="346">
        <v>14.7</v>
      </c>
      <c r="BH45" s="347">
        <v>3.2</v>
      </c>
      <c r="BI45" s="348">
        <v>1.72</v>
      </c>
      <c r="BJ45" s="345">
        <v>1.72</v>
      </c>
      <c r="BK45" s="349">
        <v>5.29</v>
      </c>
      <c r="BL45" s="348">
        <v>2.99</v>
      </c>
      <c r="BM45" s="345">
        <v>2.99</v>
      </c>
      <c r="BN45" s="349">
        <v>3.52</v>
      </c>
      <c r="BO45" s="348">
        <v>1.89</v>
      </c>
      <c r="BP45" s="345">
        <v>1.89</v>
      </c>
      <c r="BQ45" s="348">
        <v>5.82</v>
      </c>
      <c r="BR45" s="348">
        <v>3.29</v>
      </c>
      <c r="BS45" s="348">
        <v>3.29</v>
      </c>
      <c r="BT45" s="347">
        <v>1.86</v>
      </c>
      <c r="BU45" s="344">
        <v>1.41</v>
      </c>
      <c r="BV45" s="347">
        <v>2.1</v>
      </c>
      <c r="BW45" s="344">
        <v>1.59</v>
      </c>
      <c r="BX45" s="343">
        <v>1.25</v>
      </c>
      <c r="BY45" s="350">
        <v>0.12</v>
      </c>
      <c r="BZ45" s="351">
        <v>4.1000000000000002E-2</v>
      </c>
      <c r="CC45" s="342">
        <v>70</v>
      </c>
      <c r="CD45" s="343">
        <v>183.69</v>
      </c>
      <c r="CE45" s="344">
        <v>217.32</v>
      </c>
      <c r="CF45" s="343">
        <v>303.48</v>
      </c>
      <c r="CG45" s="344">
        <v>356.34</v>
      </c>
      <c r="CH45" s="343">
        <v>303.48</v>
      </c>
      <c r="CI45" s="344">
        <v>356.34</v>
      </c>
      <c r="CJ45" s="347">
        <v>3.2</v>
      </c>
      <c r="CK45" s="348">
        <v>1.72</v>
      </c>
      <c r="CL45" s="345">
        <v>1.72</v>
      </c>
      <c r="CM45" s="349">
        <v>5.29</v>
      </c>
      <c r="CN45" s="348">
        <v>2.99</v>
      </c>
      <c r="CO45" s="345">
        <v>2.99</v>
      </c>
      <c r="CP45" s="349">
        <v>3.52</v>
      </c>
      <c r="CQ45" s="348">
        <v>1.89</v>
      </c>
      <c r="CR45" s="345">
        <v>1.89</v>
      </c>
      <c r="CS45" s="348">
        <v>5.82</v>
      </c>
      <c r="CT45" s="348">
        <v>3.29</v>
      </c>
      <c r="CU45" s="348">
        <v>3.29</v>
      </c>
      <c r="CV45" s="347">
        <v>1.86</v>
      </c>
      <c r="CW45" s="344">
        <v>1.41</v>
      </c>
      <c r="CZ45" s="342">
        <v>70</v>
      </c>
      <c r="DA45" s="343">
        <v>174.5</v>
      </c>
      <c r="DB45" s="344">
        <v>206.45</v>
      </c>
      <c r="DC45" s="343">
        <v>288.29000000000002</v>
      </c>
      <c r="DD45" s="344">
        <v>338.52</v>
      </c>
      <c r="DE45" s="343">
        <v>288.29000000000002</v>
      </c>
      <c r="DF45" s="344">
        <v>338.52</v>
      </c>
      <c r="DG45" s="347">
        <v>3.2</v>
      </c>
      <c r="DH45" s="348">
        <v>1.72</v>
      </c>
      <c r="DI45" s="345">
        <v>1.72</v>
      </c>
      <c r="DJ45" s="349">
        <v>5.29</v>
      </c>
      <c r="DK45" s="348">
        <v>2.99</v>
      </c>
      <c r="DL45" s="345">
        <v>2.99</v>
      </c>
      <c r="DM45" s="349">
        <v>3.52</v>
      </c>
      <c r="DN45" s="348">
        <v>1.89</v>
      </c>
      <c r="DO45" s="345">
        <v>1.89</v>
      </c>
      <c r="DP45" s="348">
        <v>5.82</v>
      </c>
      <c r="DQ45" s="348">
        <v>3.29</v>
      </c>
      <c r="DR45" s="348">
        <v>3.29</v>
      </c>
      <c r="DS45" s="347">
        <v>1.86</v>
      </c>
      <c r="DT45" s="344">
        <v>1.41</v>
      </c>
    </row>
    <row r="46" spans="1:124">
      <c r="A46" s="59">
        <v>75</v>
      </c>
      <c r="B46" s="473">
        <f>IF(Premium!$C$7="FL",IF(Premium!$C$26="No",CD50,DA50),AZ50)</f>
        <v>244.71</v>
      </c>
      <c r="C46" s="473">
        <f>IF(Premium!$C$7="FL",IF(Premium!$C$26="No",CE50,DB50),BA50)</f>
        <v>286.27</v>
      </c>
      <c r="D46" s="473">
        <f>IF(Premium!$C$7="FL",IF(Premium!$C$26="No",CF50,DC50),BB50)</f>
        <v>339.9</v>
      </c>
      <c r="E46" s="473">
        <f>IF(Premium!$C$7="FL",IF(Premium!$C$26="No",CG50,DD50),BC50)</f>
        <v>395.07</v>
      </c>
      <c r="F46" s="473">
        <f>IF(Premium!$C$7="FL",IF(Premium!$C$26="No",CH50,DE50),BD50)</f>
        <v>339.9</v>
      </c>
      <c r="G46" s="473">
        <f>IF(Premium!$C$7="FL",IF(Premium!$C$26="No",CI50,DF50),BE50)</f>
        <v>395.07</v>
      </c>
      <c r="H46" s="15"/>
      <c r="I46" s="92">
        <f t="shared" si="2"/>
        <v>1.57</v>
      </c>
      <c r="J46" s="93">
        <f t="shared" si="0"/>
        <v>13.23</v>
      </c>
      <c r="K46" s="60"/>
      <c r="L46" s="92">
        <f>IF(Premium!$C$7="FL",IF(Premium!$C$26="No",CJ50,DG50),BH50)</f>
        <v>4.1399999999999997</v>
      </c>
      <c r="M46" s="98">
        <f>IF(Premium!$C$7="FL",IF(Premium!$C$26="No",CK50,DH50),BI50)</f>
        <v>2.2400000000000002</v>
      </c>
      <c r="N46" s="106">
        <f>IF(Premium!$C$7="FL",IF(Premium!$C$26="No",CL50,DI50),BJ50)</f>
        <v>2.2400000000000002</v>
      </c>
      <c r="O46" s="103">
        <f>IF(Premium!$C$7="FL",IF(Premium!$C$26="No",CM50,DJ50),BK50)</f>
        <v>7.29</v>
      </c>
      <c r="P46" s="98">
        <f>IF(Premium!$C$7="FL",IF(Premium!$C$26="No",CN50,DK50),BL50)</f>
        <v>4.17</v>
      </c>
      <c r="Q46" s="106">
        <f>IF(Premium!$C$7="FL",IF(Premium!$C$26="No",CO50,DL50),BM50)</f>
        <v>4.17</v>
      </c>
      <c r="R46" s="108">
        <f>IF(Premium!$C$7="FL",IF(Premium!$C$26="No",CP50,DM50),BN50)</f>
        <v>4.55</v>
      </c>
      <c r="S46" s="98">
        <f>IF(Premium!$C$7="FL",IF(Premium!$C$26="No",CQ50,DN50),BO50)</f>
        <v>2.46</v>
      </c>
      <c r="T46" s="106">
        <f>IF(Premium!$C$7="FL",IF(Premium!$C$26="No",CR50,DO50),BP50)</f>
        <v>2.46</v>
      </c>
      <c r="U46" s="103">
        <f>IF(Premium!$C$7="FL",IF(Premium!$C$26="No",CS50,DP50),BQ50)</f>
        <v>8.02</v>
      </c>
      <c r="V46" s="98">
        <f>IF(Premium!$C$7="FL",IF(Premium!$C$26="No",CT50,DQ50),BR50)</f>
        <v>4.59</v>
      </c>
      <c r="W46" s="99">
        <f>IF(Premium!$C$7="FL",IF(Premium!$C$26="No",CU50,DR50),BS50)</f>
        <v>4.59</v>
      </c>
      <c r="X46" s="15"/>
      <c r="Y46" s="108">
        <f>IF(Premium!$C$7="FL",IF(Premium!$C$26="No",CV50,DS50),BT50)</f>
        <v>1.61</v>
      </c>
      <c r="Z46" s="106">
        <f>IF(Premium!$C$7="FL",IF(Premium!$C$26="No",CW50,DT50),BU50)</f>
        <v>1.32</v>
      </c>
      <c r="AA46" s="103">
        <f t="shared" ref="AA46:AE46" si="37">BV50</f>
        <v>1.77</v>
      </c>
      <c r="AB46" s="106">
        <f t="shared" si="37"/>
        <v>1.44</v>
      </c>
      <c r="AC46" s="15">
        <f t="shared" si="37"/>
        <v>1.25</v>
      </c>
      <c r="AD46" s="111">
        <f t="shared" si="37"/>
        <v>7.9000000000000001E-2</v>
      </c>
      <c r="AE46" s="112">
        <f t="shared" si="37"/>
        <v>2.7E-2</v>
      </c>
      <c r="AK46" s="189">
        <v>70</v>
      </c>
      <c r="AL46" s="190" t="s">
        <v>191</v>
      </c>
      <c r="AM46" s="191">
        <v>0.7</v>
      </c>
      <c r="AN46" s="182"/>
      <c r="AY46" s="342">
        <v>71</v>
      </c>
      <c r="AZ46" s="343">
        <v>157.69999999999999</v>
      </c>
      <c r="BA46" s="344">
        <v>186.16</v>
      </c>
      <c r="BB46" s="343">
        <v>234.9</v>
      </c>
      <c r="BC46" s="344">
        <v>275.26</v>
      </c>
      <c r="BD46" s="343">
        <v>234.9</v>
      </c>
      <c r="BE46" s="344">
        <v>275.26</v>
      </c>
      <c r="BF46" s="345">
        <v>1.71</v>
      </c>
      <c r="BG46" s="346">
        <v>14.39</v>
      </c>
      <c r="BH46" s="347">
        <v>3.37</v>
      </c>
      <c r="BI46" s="348">
        <v>1.82</v>
      </c>
      <c r="BJ46" s="345">
        <v>1.82</v>
      </c>
      <c r="BK46" s="349">
        <v>5.64</v>
      </c>
      <c r="BL46" s="348">
        <v>3.2</v>
      </c>
      <c r="BM46" s="345">
        <v>3.2</v>
      </c>
      <c r="BN46" s="349">
        <v>3.71</v>
      </c>
      <c r="BO46" s="348">
        <v>2</v>
      </c>
      <c r="BP46" s="345">
        <v>2</v>
      </c>
      <c r="BQ46" s="348">
        <v>6.2</v>
      </c>
      <c r="BR46" s="348">
        <v>3.52</v>
      </c>
      <c r="BS46" s="348">
        <v>3.52</v>
      </c>
      <c r="BT46" s="347">
        <v>1.81</v>
      </c>
      <c r="BU46" s="344">
        <v>1.39</v>
      </c>
      <c r="BV46" s="347">
        <v>2.0299999999999998</v>
      </c>
      <c r="BW46" s="344">
        <v>1.56</v>
      </c>
      <c r="BX46" s="343">
        <v>1.25</v>
      </c>
      <c r="BY46" s="350">
        <v>0.11</v>
      </c>
      <c r="BZ46" s="351">
        <v>3.7999999999999999E-2</v>
      </c>
      <c r="CC46" s="342">
        <v>71</v>
      </c>
      <c r="CD46" s="343">
        <v>205.01</v>
      </c>
      <c r="CE46" s="344">
        <v>242.01</v>
      </c>
      <c r="CF46" s="343">
        <v>332.85</v>
      </c>
      <c r="CG46" s="344">
        <v>390.05</v>
      </c>
      <c r="CH46" s="343">
        <v>332.85</v>
      </c>
      <c r="CI46" s="344">
        <v>390.05</v>
      </c>
      <c r="CJ46" s="347">
        <v>3.37</v>
      </c>
      <c r="CK46" s="348">
        <v>1.82</v>
      </c>
      <c r="CL46" s="345">
        <v>1.82</v>
      </c>
      <c r="CM46" s="349">
        <v>5.64</v>
      </c>
      <c r="CN46" s="348">
        <v>3.2</v>
      </c>
      <c r="CO46" s="345">
        <v>3.2</v>
      </c>
      <c r="CP46" s="349">
        <v>3.71</v>
      </c>
      <c r="CQ46" s="348">
        <v>2</v>
      </c>
      <c r="CR46" s="345">
        <v>2</v>
      </c>
      <c r="CS46" s="348">
        <v>6.2</v>
      </c>
      <c r="CT46" s="348">
        <v>3.52</v>
      </c>
      <c r="CU46" s="348">
        <v>3.52</v>
      </c>
      <c r="CV46" s="347">
        <v>1.81</v>
      </c>
      <c r="CW46" s="344">
        <v>1.39</v>
      </c>
      <c r="CZ46" s="342">
        <v>71</v>
      </c>
      <c r="DA46" s="343">
        <v>194.75</v>
      </c>
      <c r="DB46" s="344">
        <v>229.9</v>
      </c>
      <c r="DC46" s="343">
        <v>316.20999999999998</v>
      </c>
      <c r="DD46" s="344">
        <v>370.53</v>
      </c>
      <c r="DE46" s="343">
        <v>316.20999999999998</v>
      </c>
      <c r="DF46" s="344">
        <v>370.53</v>
      </c>
      <c r="DG46" s="347">
        <v>3.37</v>
      </c>
      <c r="DH46" s="348">
        <v>1.82</v>
      </c>
      <c r="DI46" s="345">
        <v>1.82</v>
      </c>
      <c r="DJ46" s="349">
        <v>5.64</v>
      </c>
      <c r="DK46" s="348">
        <v>3.2</v>
      </c>
      <c r="DL46" s="345">
        <v>3.2</v>
      </c>
      <c r="DM46" s="349">
        <v>3.71</v>
      </c>
      <c r="DN46" s="348">
        <v>2</v>
      </c>
      <c r="DO46" s="345">
        <v>2</v>
      </c>
      <c r="DP46" s="348">
        <v>6.2</v>
      </c>
      <c r="DQ46" s="348">
        <v>3.52</v>
      </c>
      <c r="DR46" s="348">
        <v>3.52</v>
      </c>
      <c r="DS46" s="347">
        <v>1.81</v>
      </c>
      <c r="DT46" s="344">
        <v>1.39</v>
      </c>
    </row>
    <row r="47" spans="1:124" ht="16.5" thickBot="1">
      <c r="A47" s="59">
        <v>76</v>
      </c>
      <c r="B47" s="473">
        <f>IF(Premium!$C$7="FL",IF(Premium!$C$26="No",CD51,DA51),AZ51)</f>
        <v>273.12</v>
      </c>
      <c r="C47" s="473">
        <f>IF(Premium!$C$7="FL",IF(Premium!$C$26="No",CE51,DB51),BA51)</f>
        <v>318.79000000000002</v>
      </c>
      <c r="D47" s="473">
        <f>IF(Premium!$C$7="FL",IF(Premium!$C$26="No",CF51,DC51),BB51)</f>
        <v>372.8</v>
      </c>
      <c r="E47" s="473">
        <f>IF(Premium!$C$7="FL",IF(Premium!$C$26="No",CG51,DD51),BC51)</f>
        <v>432.42</v>
      </c>
      <c r="F47" s="473">
        <f>IF(Premium!$C$7="FL",IF(Premium!$C$26="No",CH51,DE51),BD51)</f>
        <v>372.8</v>
      </c>
      <c r="G47" s="473">
        <f>IF(Premium!$C$7="FL",IF(Premium!$C$26="No",CI51,DF51),BE51)</f>
        <v>432.42</v>
      </c>
      <c r="H47" s="15"/>
      <c r="I47" s="92">
        <f t="shared" si="2"/>
        <v>1.53</v>
      </c>
      <c r="J47" s="93">
        <f t="shared" si="0"/>
        <v>12.95</v>
      </c>
      <c r="K47" s="60"/>
      <c r="L47" s="92">
        <f>IF(Premium!$C$7="FL",IF(Premium!$C$26="No",CJ51,DG51),BH51)</f>
        <v>4.3499999999999996</v>
      </c>
      <c r="M47" s="98">
        <f>IF(Premium!$C$7="FL",IF(Premium!$C$26="No",CK51,DH51),BI51)</f>
        <v>2.38</v>
      </c>
      <c r="N47" s="106">
        <f>IF(Premium!$C$7="FL",IF(Premium!$C$26="No",CL51,DI51),BJ51)</f>
        <v>2.38</v>
      </c>
      <c r="O47" s="103">
        <f>IF(Premium!$C$7="FL",IF(Premium!$C$26="No",CM51,DJ51),BK51)</f>
        <v>7.78</v>
      </c>
      <c r="P47" s="98">
        <f>IF(Premium!$C$7="FL",IF(Premium!$C$26="No",CN51,DK51),BL51)</f>
        <v>4.46</v>
      </c>
      <c r="Q47" s="106">
        <f>IF(Premium!$C$7="FL",IF(Premium!$C$26="No",CO51,DL51),BM51)</f>
        <v>4.46</v>
      </c>
      <c r="R47" s="108">
        <f>IF(Premium!$C$7="FL",IF(Premium!$C$26="No",CP51,DM51),BN51)</f>
        <v>4.79</v>
      </c>
      <c r="S47" s="98">
        <f>IF(Premium!$C$7="FL",IF(Premium!$C$26="No",CQ51,DN51),BO51)</f>
        <v>2.62</v>
      </c>
      <c r="T47" s="106">
        <f>IF(Premium!$C$7="FL",IF(Premium!$C$26="No",CR51,DO51),BP51)</f>
        <v>2.62</v>
      </c>
      <c r="U47" s="103">
        <f>IF(Premium!$C$7="FL",IF(Premium!$C$26="No",CS51,DP51),BQ51)</f>
        <v>8.56</v>
      </c>
      <c r="V47" s="98">
        <f>IF(Premium!$C$7="FL",IF(Premium!$C$26="No",CT51,DQ51),BR51)</f>
        <v>4.91</v>
      </c>
      <c r="W47" s="99">
        <f>IF(Premium!$C$7="FL",IF(Premium!$C$26="No",CU51,DR51),BS51)</f>
        <v>4.91</v>
      </c>
      <c r="X47" s="15"/>
      <c r="Y47" s="108">
        <f>IF(Premium!$C$7="FL",IF(Premium!$C$26="No",CV51,DS51),BT51)</f>
        <v>1.56</v>
      </c>
      <c r="Z47" s="106">
        <f>IF(Premium!$C$7="FL",IF(Premium!$C$26="No",CW51,DT51),BU51)</f>
        <v>1.3</v>
      </c>
      <c r="AA47" s="103">
        <f t="shared" ref="AA47:AE47" si="38">BV51</f>
        <v>1.72</v>
      </c>
      <c r="AB47" s="106">
        <f t="shared" si="38"/>
        <v>1.42</v>
      </c>
      <c r="AC47" s="15">
        <f t="shared" si="38"/>
        <v>1.25</v>
      </c>
      <c r="AD47" s="111">
        <f t="shared" si="38"/>
        <v>7.2999999999999995E-2</v>
      </c>
      <c r="AE47" s="112">
        <f t="shared" si="38"/>
        <v>2.5000000000000001E-2</v>
      </c>
      <c r="AK47" s="189">
        <v>75</v>
      </c>
      <c r="AL47" s="192" t="s">
        <v>192</v>
      </c>
      <c r="AM47" s="193">
        <v>0.65</v>
      </c>
      <c r="AN47" s="182"/>
      <c r="AY47" s="342">
        <v>72</v>
      </c>
      <c r="AZ47" s="343">
        <v>176.01</v>
      </c>
      <c r="BA47" s="344">
        <v>207.3</v>
      </c>
      <c r="BB47" s="343">
        <v>257.63</v>
      </c>
      <c r="BC47" s="344">
        <v>301.27999999999997</v>
      </c>
      <c r="BD47" s="343">
        <v>257.63</v>
      </c>
      <c r="BE47" s="344">
        <v>301.27999999999997</v>
      </c>
      <c r="BF47" s="345">
        <v>1.67</v>
      </c>
      <c r="BG47" s="346">
        <v>14.09</v>
      </c>
      <c r="BH47" s="347">
        <v>3.54</v>
      </c>
      <c r="BI47" s="348">
        <v>1.91</v>
      </c>
      <c r="BJ47" s="345">
        <v>1.91</v>
      </c>
      <c r="BK47" s="349">
        <v>6.02</v>
      </c>
      <c r="BL47" s="348">
        <v>3.42</v>
      </c>
      <c r="BM47" s="345">
        <v>3.42</v>
      </c>
      <c r="BN47" s="349">
        <v>3.89</v>
      </c>
      <c r="BO47" s="348">
        <v>2.1</v>
      </c>
      <c r="BP47" s="345">
        <v>2.1</v>
      </c>
      <c r="BQ47" s="348">
        <v>6.62</v>
      </c>
      <c r="BR47" s="348">
        <v>3.76</v>
      </c>
      <c r="BS47" s="348">
        <v>3.76</v>
      </c>
      <c r="BT47" s="347">
        <v>1.75</v>
      </c>
      <c r="BU47" s="344">
        <v>1.37</v>
      </c>
      <c r="BV47" s="347">
        <v>1.96</v>
      </c>
      <c r="BW47" s="344">
        <v>1.53</v>
      </c>
      <c r="BX47" s="343">
        <v>1.25</v>
      </c>
      <c r="BY47" s="350">
        <v>0.10199999999999999</v>
      </c>
      <c r="BZ47" s="351">
        <v>3.5000000000000003E-2</v>
      </c>
      <c r="CC47" s="342">
        <v>72</v>
      </c>
      <c r="CD47" s="343">
        <v>228.81</v>
      </c>
      <c r="CE47" s="344">
        <v>269.49</v>
      </c>
      <c r="CF47" s="343">
        <v>365.06</v>
      </c>
      <c r="CG47" s="344">
        <v>426.91</v>
      </c>
      <c r="CH47" s="343">
        <v>365.06</v>
      </c>
      <c r="CI47" s="344">
        <v>426.91</v>
      </c>
      <c r="CJ47" s="347">
        <v>3.54</v>
      </c>
      <c r="CK47" s="348">
        <v>1.91</v>
      </c>
      <c r="CL47" s="345">
        <v>1.91</v>
      </c>
      <c r="CM47" s="349">
        <v>6.02</v>
      </c>
      <c r="CN47" s="348">
        <v>3.42</v>
      </c>
      <c r="CO47" s="345">
        <v>3.42</v>
      </c>
      <c r="CP47" s="349">
        <v>3.89</v>
      </c>
      <c r="CQ47" s="348">
        <v>2.1</v>
      </c>
      <c r="CR47" s="345">
        <v>2.1</v>
      </c>
      <c r="CS47" s="348">
        <v>6.62</v>
      </c>
      <c r="CT47" s="348">
        <v>3.76</v>
      </c>
      <c r="CU47" s="348">
        <v>3.76</v>
      </c>
      <c r="CV47" s="347">
        <v>1.75</v>
      </c>
      <c r="CW47" s="344">
        <v>1.37</v>
      </c>
      <c r="CZ47" s="342">
        <v>72</v>
      </c>
      <c r="DA47" s="343">
        <v>217.36</v>
      </c>
      <c r="DB47" s="344">
        <v>256.01</v>
      </c>
      <c r="DC47" s="343">
        <v>346.81</v>
      </c>
      <c r="DD47" s="344">
        <v>405.56</v>
      </c>
      <c r="DE47" s="343">
        <v>346.81</v>
      </c>
      <c r="DF47" s="344">
        <v>405.56</v>
      </c>
      <c r="DG47" s="347">
        <v>3.54</v>
      </c>
      <c r="DH47" s="348">
        <v>1.91</v>
      </c>
      <c r="DI47" s="345">
        <v>1.91</v>
      </c>
      <c r="DJ47" s="349">
        <v>6.02</v>
      </c>
      <c r="DK47" s="348">
        <v>3.42</v>
      </c>
      <c r="DL47" s="345">
        <v>3.42</v>
      </c>
      <c r="DM47" s="349">
        <v>3.89</v>
      </c>
      <c r="DN47" s="348">
        <v>2.1</v>
      </c>
      <c r="DO47" s="345">
        <v>2.1</v>
      </c>
      <c r="DP47" s="348">
        <v>6.62</v>
      </c>
      <c r="DQ47" s="348">
        <v>3.76</v>
      </c>
      <c r="DR47" s="348">
        <v>3.76</v>
      </c>
      <c r="DS47" s="347">
        <v>1.75</v>
      </c>
      <c r="DT47" s="344">
        <v>1.37</v>
      </c>
    </row>
    <row r="48" spans="1:124">
      <c r="A48" s="59">
        <v>77</v>
      </c>
      <c r="B48" s="473">
        <f>IF(Premium!$C$7="FL",IF(Premium!$C$26="No",CD52,DA52),AZ52)</f>
        <v>304.83</v>
      </c>
      <c r="C48" s="473">
        <f>IF(Premium!$C$7="FL",IF(Premium!$C$26="No",CE52,DB52),BA52)</f>
        <v>354.99</v>
      </c>
      <c r="D48" s="473">
        <f>IF(Premium!$C$7="FL",IF(Premium!$C$26="No",CF52,DC52),BB52)</f>
        <v>408.88</v>
      </c>
      <c r="E48" s="473">
        <f>IF(Premium!$C$7="FL",IF(Premium!$C$26="No",CG52,DD52),BC52)</f>
        <v>473.3</v>
      </c>
      <c r="F48" s="473">
        <f>IF(Premium!$C$7="FL",IF(Premium!$C$26="No",CH52,DE52),BD52)</f>
        <v>408.88</v>
      </c>
      <c r="G48" s="473">
        <f>IF(Premium!$C$7="FL",IF(Premium!$C$26="No",CI52,DF52),BE52)</f>
        <v>473.3</v>
      </c>
      <c r="H48" s="15"/>
      <c r="I48" s="92">
        <f t="shared" si="2"/>
        <v>1.5</v>
      </c>
      <c r="J48" s="93">
        <f t="shared" si="0"/>
        <v>12.68</v>
      </c>
      <c r="K48" s="60"/>
      <c r="L48" s="92">
        <f>IF(Premium!$C$7="FL",IF(Premium!$C$26="No",CJ52,DG52),BH52)</f>
        <v>4.58</v>
      </c>
      <c r="M48" s="98">
        <f>IF(Premium!$C$7="FL",IF(Premium!$C$26="No",CK52,DH52),BI52)</f>
        <v>2.5099999999999998</v>
      </c>
      <c r="N48" s="106">
        <f>IF(Premium!$C$7="FL",IF(Premium!$C$26="No",CL52,DI52),BJ52)</f>
        <v>2.5099999999999998</v>
      </c>
      <c r="O48" s="103">
        <f>IF(Premium!$C$7="FL",IF(Premium!$C$26="No",CM52,DJ52),BK52)</f>
        <v>8.2899999999999991</v>
      </c>
      <c r="P48" s="98">
        <f>IF(Premium!$C$7="FL",IF(Premium!$C$26="No",CN52,DK52),BL52)</f>
        <v>4.76</v>
      </c>
      <c r="Q48" s="106">
        <f>IF(Premium!$C$7="FL",IF(Premium!$C$26="No",CO52,DL52),BM52)</f>
        <v>4.76</v>
      </c>
      <c r="R48" s="108">
        <f>IF(Premium!$C$7="FL",IF(Premium!$C$26="No",CP52,DM52),BN52)</f>
        <v>5.04</v>
      </c>
      <c r="S48" s="98">
        <f>IF(Premium!$C$7="FL",IF(Premium!$C$26="No",CQ52,DN52),BO52)</f>
        <v>2.76</v>
      </c>
      <c r="T48" s="106">
        <f>IF(Premium!$C$7="FL",IF(Premium!$C$26="No",CR52,DO52),BP52)</f>
        <v>2.76</v>
      </c>
      <c r="U48" s="103">
        <f>IF(Premium!$C$7="FL",IF(Premium!$C$26="No",CS52,DP52),BQ52)</f>
        <v>9.1199999999999992</v>
      </c>
      <c r="V48" s="98">
        <f>IF(Premium!$C$7="FL",IF(Premium!$C$26="No",CT52,DQ52),BR52)</f>
        <v>5.24</v>
      </c>
      <c r="W48" s="99">
        <f>IF(Premium!$C$7="FL",IF(Premium!$C$26="No",CU52,DR52),BS52)</f>
        <v>5.24</v>
      </c>
      <c r="X48" s="15"/>
      <c r="Y48" s="108">
        <f>IF(Premium!$C$7="FL",IF(Premium!$C$26="No",CV52,DS52),BT52)</f>
        <v>1.52</v>
      </c>
      <c r="Z48" s="106">
        <f>IF(Premium!$C$7="FL",IF(Premium!$C$26="No",CW52,DT52),BU52)</f>
        <v>1.28</v>
      </c>
      <c r="AA48" s="103">
        <f t="shared" ref="AA48:AE48" si="39">BV52</f>
        <v>1.66</v>
      </c>
      <c r="AB48" s="106">
        <f t="shared" si="39"/>
        <v>1.39</v>
      </c>
      <c r="AC48" s="15">
        <f t="shared" si="39"/>
        <v>1.25</v>
      </c>
      <c r="AD48" s="111">
        <f t="shared" si="39"/>
        <v>6.7000000000000004E-2</v>
      </c>
      <c r="AE48" s="112">
        <f t="shared" si="39"/>
        <v>2.3E-2</v>
      </c>
      <c r="AK48" s="182"/>
      <c r="AL48" s="182"/>
      <c r="AM48" s="182"/>
      <c r="AN48" s="182"/>
      <c r="AY48" s="342">
        <v>73</v>
      </c>
      <c r="AZ48" s="343">
        <v>196.45</v>
      </c>
      <c r="BA48" s="344">
        <v>230.85</v>
      </c>
      <c r="BB48" s="343">
        <v>282.56</v>
      </c>
      <c r="BC48" s="344">
        <v>329.76</v>
      </c>
      <c r="BD48" s="343">
        <v>282.56</v>
      </c>
      <c r="BE48" s="344">
        <v>329.76</v>
      </c>
      <c r="BF48" s="345">
        <v>1.64</v>
      </c>
      <c r="BG48" s="346">
        <v>13.8</v>
      </c>
      <c r="BH48" s="347">
        <v>3.73</v>
      </c>
      <c r="BI48" s="348">
        <v>2.0099999999999998</v>
      </c>
      <c r="BJ48" s="345">
        <v>2.0099999999999998</v>
      </c>
      <c r="BK48" s="349">
        <v>6.41</v>
      </c>
      <c r="BL48" s="348">
        <v>3.65</v>
      </c>
      <c r="BM48" s="345">
        <v>3.65</v>
      </c>
      <c r="BN48" s="349">
        <v>4.0999999999999996</v>
      </c>
      <c r="BO48" s="348">
        <v>2.21</v>
      </c>
      <c r="BP48" s="345">
        <v>2.21</v>
      </c>
      <c r="BQ48" s="348">
        <v>7.05</v>
      </c>
      <c r="BR48" s="348">
        <v>4.0199999999999996</v>
      </c>
      <c r="BS48" s="348">
        <v>4.0199999999999996</v>
      </c>
      <c r="BT48" s="347">
        <v>1.7</v>
      </c>
      <c r="BU48" s="344">
        <v>1.35</v>
      </c>
      <c r="BV48" s="347">
        <v>1.9</v>
      </c>
      <c r="BW48" s="344">
        <v>1.5</v>
      </c>
      <c r="BX48" s="343">
        <v>1.25</v>
      </c>
      <c r="BY48" s="350">
        <v>9.2999999999999999E-2</v>
      </c>
      <c r="BZ48" s="351">
        <v>3.2000000000000001E-2</v>
      </c>
      <c r="CC48" s="342">
        <v>73</v>
      </c>
      <c r="CD48" s="343">
        <v>255.39</v>
      </c>
      <c r="CE48" s="344">
        <v>300.11</v>
      </c>
      <c r="CF48" s="343">
        <v>400.39</v>
      </c>
      <c r="CG48" s="344">
        <v>467.27</v>
      </c>
      <c r="CH48" s="343">
        <v>400.39</v>
      </c>
      <c r="CI48" s="344">
        <v>467.27</v>
      </c>
      <c r="CJ48" s="347">
        <v>3.73</v>
      </c>
      <c r="CK48" s="348">
        <v>2.0099999999999998</v>
      </c>
      <c r="CL48" s="345">
        <v>2.0099999999999998</v>
      </c>
      <c r="CM48" s="349">
        <v>6.41</v>
      </c>
      <c r="CN48" s="348">
        <v>3.65</v>
      </c>
      <c r="CO48" s="345">
        <v>3.65</v>
      </c>
      <c r="CP48" s="349">
        <v>4.0999999999999996</v>
      </c>
      <c r="CQ48" s="348">
        <v>2.21</v>
      </c>
      <c r="CR48" s="345">
        <v>2.21</v>
      </c>
      <c r="CS48" s="348">
        <v>7.05</v>
      </c>
      <c r="CT48" s="348">
        <v>4.0199999999999996</v>
      </c>
      <c r="CU48" s="348">
        <v>4.0199999999999996</v>
      </c>
      <c r="CV48" s="347">
        <v>1.7</v>
      </c>
      <c r="CW48" s="344">
        <v>1.35</v>
      </c>
      <c r="CZ48" s="342">
        <v>73</v>
      </c>
      <c r="DA48" s="343">
        <v>242.62</v>
      </c>
      <c r="DB48" s="344">
        <v>285.10000000000002</v>
      </c>
      <c r="DC48" s="343">
        <v>380.37</v>
      </c>
      <c r="DD48" s="344">
        <v>443.9</v>
      </c>
      <c r="DE48" s="343">
        <v>380.37</v>
      </c>
      <c r="DF48" s="344">
        <v>443.9</v>
      </c>
      <c r="DG48" s="347">
        <v>3.73</v>
      </c>
      <c r="DH48" s="348">
        <v>2.0099999999999998</v>
      </c>
      <c r="DI48" s="345">
        <v>2.0099999999999998</v>
      </c>
      <c r="DJ48" s="349">
        <v>6.41</v>
      </c>
      <c r="DK48" s="348">
        <v>3.65</v>
      </c>
      <c r="DL48" s="345">
        <v>3.65</v>
      </c>
      <c r="DM48" s="349">
        <v>4.0999999999999996</v>
      </c>
      <c r="DN48" s="348">
        <v>2.21</v>
      </c>
      <c r="DO48" s="345">
        <v>2.21</v>
      </c>
      <c r="DP48" s="348">
        <v>7.05</v>
      </c>
      <c r="DQ48" s="348">
        <v>4.0199999999999996</v>
      </c>
      <c r="DR48" s="348">
        <v>4.0199999999999996</v>
      </c>
      <c r="DS48" s="347">
        <v>1.7</v>
      </c>
      <c r="DT48" s="344">
        <v>1.35</v>
      </c>
    </row>
    <row r="49" spans="1:125">
      <c r="A49" s="59">
        <v>78</v>
      </c>
      <c r="B49" s="473">
        <f>IF(Premium!$C$7="FL",IF(Premium!$C$26="No",CD53,DA53),AZ53)</f>
        <v>340.22</v>
      </c>
      <c r="C49" s="473">
        <f>IF(Premium!$C$7="FL",IF(Premium!$C$26="No",CE53,DB53),BA53)</f>
        <v>395.32</v>
      </c>
      <c r="D49" s="473">
        <f>IF(Premium!$C$7="FL",IF(Premium!$C$26="No",CF53,DC53),BB53)</f>
        <v>448.45</v>
      </c>
      <c r="E49" s="473">
        <f>IF(Premium!$C$7="FL",IF(Premium!$C$26="No",CG53,DD53),BC53)</f>
        <v>518.04999999999995</v>
      </c>
      <c r="F49" s="473">
        <f>IF(Premium!$C$7="FL",IF(Premium!$C$26="No",CH53,DE53),BD53)</f>
        <v>448.45</v>
      </c>
      <c r="G49" s="473">
        <f>IF(Premium!$C$7="FL",IF(Premium!$C$26="No",CI53,DF53),BE53)</f>
        <v>518.04999999999995</v>
      </c>
      <c r="H49" s="15"/>
      <c r="I49" s="92">
        <f t="shared" si="2"/>
        <v>1.46</v>
      </c>
      <c r="J49" s="93">
        <f t="shared" si="0"/>
        <v>12.41</v>
      </c>
      <c r="K49" s="60"/>
      <c r="L49" s="92">
        <f>IF(Premium!$C$7="FL",IF(Premium!$C$26="No",CJ53,DG53),BH53)</f>
        <v>4.82</v>
      </c>
      <c r="M49" s="98">
        <f>IF(Premium!$C$7="FL",IF(Premium!$C$26="No",CK53,DH53),BI53)</f>
        <v>2.65</v>
      </c>
      <c r="N49" s="106">
        <f>IF(Premium!$C$7="FL",IF(Premium!$C$26="No",CL53,DI53),BJ53)</f>
        <v>2.65</v>
      </c>
      <c r="O49" s="103">
        <f>IF(Premium!$C$7="FL",IF(Premium!$C$26="No",CM53,DJ53),BK53)</f>
        <v>8.86</v>
      </c>
      <c r="P49" s="98">
        <f>IF(Premium!$C$7="FL",IF(Premium!$C$26="No",CN53,DK53),BL53)</f>
        <v>5.08</v>
      </c>
      <c r="Q49" s="106">
        <f>IF(Premium!$C$7="FL",IF(Premium!$C$26="No",CO53,DL53),BM53)</f>
        <v>5.08</v>
      </c>
      <c r="R49" s="108">
        <f>IF(Premium!$C$7="FL",IF(Premium!$C$26="No",CP53,DM53),BN53)</f>
        <v>5.3</v>
      </c>
      <c r="S49" s="98">
        <f>IF(Premium!$C$7="FL",IF(Premium!$C$26="No",CQ53,DN53),BO53)</f>
        <v>2.92</v>
      </c>
      <c r="T49" s="106">
        <f>IF(Premium!$C$7="FL",IF(Premium!$C$26="No",CR53,DO53),BP53)</f>
        <v>2.92</v>
      </c>
      <c r="U49" s="103">
        <f>IF(Premium!$C$7="FL",IF(Premium!$C$26="No",CS53,DP53),BQ53)</f>
        <v>9.75</v>
      </c>
      <c r="V49" s="98">
        <f>IF(Premium!$C$7="FL",IF(Premium!$C$26="No",CT53,DQ53),BR53)</f>
        <v>5.59</v>
      </c>
      <c r="W49" s="99">
        <f>IF(Premium!$C$7="FL",IF(Premium!$C$26="No",CU53,DR53),BS53)</f>
        <v>5.59</v>
      </c>
      <c r="X49" s="15"/>
      <c r="Y49" s="108">
        <f>IF(Premium!$C$7="FL",IF(Premium!$C$26="No",CV53,DS53),BT53)</f>
        <v>1.47</v>
      </c>
      <c r="Z49" s="106">
        <f>IF(Premium!$C$7="FL",IF(Premium!$C$26="No",CW53,DT53),BU53)</f>
        <v>1.26</v>
      </c>
      <c r="AA49" s="103">
        <f t="shared" ref="AA49:AE49" si="40">BV53</f>
        <v>1.6</v>
      </c>
      <c r="AB49" s="106">
        <f t="shared" si="40"/>
        <v>1.36</v>
      </c>
      <c r="AC49" s="15">
        <f t="shared" si="40"/>
        <v>1.25</v>
      </c>
      <c r="AD49" s="111">
        <f t="shared" si="40"/>
        <v>6.0999999999999999E-2</v>
      </c>
      <c r="AE49" s="112">
        <f t="shared" si="40"/>
        <v>2.1000000000000001E-2</v>
      </c>
      <c r="AK49" s="182"/>
      <c r="AL49" s="182"/>
      <c r="AM49" s="182"/>
      <c r="AN49" s="182"/>
      <c r="AY49" s="342">
        <v>74</v>
      </c>
      <c r="AZ49" s="343">
        <v>219.26</v>
      </c>
      <c r="BA49" s="344">
        <v>257.07</v>
      </c>
      <c r="BB49" s="343">
        <v>309.91000000000003</v>
      </c>
      <c r="BC49" s="344">
        <v>360.94</v>
      </c>
      <c r="BD49" s="343">
        <v>309.91000000000003</v>
      </c>
      <c r="BE49" s="344">
        <v>360.94</v>
      </c>
      <c r="BF49" s="345">
        <v>1.6</v>
      </c>
      <c r="BG49" s="346">
        <v>13.51</v>
      </c>
      <c r="BH49" s="347">
        <v>3.93</v>
      </c>
      <c r="BI49" s="348">
        <v>2.13</v>
      </c>
      <c r="BJ49" s="345">
        <v>2.13</v>
      </c>
      <c r="BK49" s="349">
        <v>6.84</v>
      </c>
      <c r="BL49" s="348">
        <v>3.91</v>
      </c>
      <c r="BM49" s="345">
        <v>3.91</v>
      </c>
      <c r="BN49" s="349">
        <v>4.32</v>
      </c>
      <c r="BO49" s="348">
        <v>2.34</v>
      </c>
      <c r="BP49" s="345">
        <v>2.34</v>
      </c>
      <c r="BQ49" s="348">
        <v>7.52</v>
      </c>
      <c r="BR49" s="348">
        <v>4.3</v>
      </c>
      <c r="BS49" s="348">
        <v>4.3</v>
      </c>
      <c r="BT49" s="347">
        <v>1.66</v>
      </c>
      <c r="BU49" s="344">
        <v>1.34</v>
      </c>
      <c r="BV49" s="347">
        <v>1.84</v>
      </c>
      <c r="BW49" s="344">
        <v>1.47</v>
      </c>
      <c r="BX49" s="343">
        <v>1.25</v>
      </c>
      <c r="BY49" s="350">
        <v>8.5999999999999993E-2</v>
      </c>
      <c r="BZ49" s="351">
        <v>2.9000000000000001E-2</v>
      </c>
      <c r="CC49" s="342">
        <v>74</v>
      </c>
      <c r="CD49" s="343">
        <v>285.04000000000002</v>
      </c>
      <c r="CE49" s="344">
        <v>334.19</v>
      </c>
      <c r="CF49" s="343">
        <v>439.14</v>
      </c>
      <c r="CG49" s="344">
        <v>511.45</v>
      </c>
      <c r="CH49" s="343">
        <v>439.14</v>
      </c>
      <c r="CI49" s="344">
        <v>511.45</v>
      </c>
      <c r="CJ49" s="347">
        <v>3.93</v>
      </c>
      <c r="CK49" s="348">
        <v>2.13</v>
      </c>
      <c r="CL49" s="345">
        <v>2.13</v>
      </c>
      <c r="CM49" s="349">
        <v>6.84</v>
      </c>
      <c r="CN49" s="348">
        <v>3.91</v>
      </c>
      <c r="CO49" s="345">
        <v>3.91</v>
      </c>
      <c r="CP49" s="349">
        <v>4.32</v>
      </c>
      <c r="CQ49" s="348">
        <v>2.34</v>
      </c>
      <c r="CR49" s="345">
        <v>2.34</v>
      </c>
      <c r="CS49" s="348">
        <v>7.52</v>
      </c>
      <c r="CT49" s="348">
        <v>4.3</v>
      </c>
      <c r="CU49" s="348">
        <v>4.3</v>
      </c>
      <c r="CV49" s="347">
        <v>1.66</v>
      </c>
      <c r="CW49" s="344">
        <v>1.34</v>
      </c>
      <c r="CZ49" s="342">
        <v>74</v>
      </c>
      <c r="DA49" s="343">
        <v>270.77999999999997</v>
      </c>
      <c r="DB49" s="344">
        <v>317.48</v>
      </c>
      <c r="DC49" s="343">
        <v>417.18</v>
      </c>
      <c r="DD49" s="344">
        <v>485.87</v>
      </c>
      <c r="DE49" s="343">
        <v>417.18</v>
      </c>
      <c r="DF49" s="344">
        <v>485.87</v>
      </c>
      <c r="DG49" s="347">
        <v>3.93</v>
      </c>
      <c r="DH49" s="348">
        <v>2.13</v>
      </c>
      <c r="DI49" s="345">
        <v>2.13</v>
      </c>
      <c r="DJ49" s="349">
        <v>6.84</v>
      </c>
      <c r="DK49" s="348">
        <v>3.91</v>
      </c>
      <c r="DL49" s="345">
        <v>3.91</v>
      </c>
      <c r="DM49" s="349">
        <v>4.32</v>
      </c>
      <c r="DN49" s="348">
        <v>2.34</v>
      </c>
      <c r="DO49" s="345">
        <v>2.34</v>
      </c>
      <c r="DP49" s="348">
        <v>7.52</v>
      </c>
      <c r="DQ49" s="348">
        <v>4.3</v>
      </c>
      <c r="DR49" s="348">
        <v>4.3</v>
      </c>
      <c r="DS49" s="347">
        <v>1.66</v>
      </c>
      <c r="DT49" s="344">
        <v>1.34</v>
      </c>
    </row>
    <row r="50" spans="1:125">
      <c r="A50" s="59">
        <v>79</v>
      </c>
      <c r="B50" s="473">
        <f>IF(Premium!$C$7="FL",IF(Premium!$C$26="No",CD54,DA54),AZ54)</f>
        <v>379.72</v>
      </c>
      <c r="C50" s="473">
        <f>IF(Premium!$C$7="FL",IF(Premium!$C$26="No",CE54,DB54),BA54)</f>
        <v>440.22</v>
      </c>
      <c r="D50" s="473">
        <f>IF(Premium!$C$7="FL",IF(Premium!$C$26="No",CF54,DC54),BB54)</f>
        <v>491.85</v>
      </c>
      <c r="E50" s="473">
        <f>IF(Premium!$C$7="FL",IF(Premium!$C$26="No",CG54,DD54),BC54)</f>
        <v>567.03</v>
      </c>
      <c r="F50" s="473">
        <f>IF(Premium!$C$7="FL",IF(Premium!$C$26="No",CH54,DE54),BD54)</f>
        <v>491.85</v>
      </c>
      <c r="G50" s="473">
        <f>IF(Premium!$C$7="FL",IF(Premium!$C$26="No",CI54,DF54),BE54)</f>
        <v>567.03</v>
      </c>
      <c r="H50" s="15"/>
      <c r="I50" s="94">
        <f t="shared" si="2"/>
        <v>1.43</v>
      </c>
      <c r="J50" s="95">
        <f t="shared" si="0"/>
        <v>12.15</v>
      </c>
      <c r="K50" s="60"/>
      <c r="L50" s="94">
        <f>IF(Premium!$C$7="FL",IF(Premium!$C$26="No",CJ54,DG54),BH54)</f>
        <v>5.07</v>
      </c>
      <c r="M50" s="100">
        <f>IF(Premium!$C$7="FL",IF(Premium!$C$26="No",CK54,DH54),BI54)</f>
        <v>2.79</v>
      </c>
      <c r="N50" s="107">
        <f>IF(Premium!$C$7="FL",IF(Premium!$C$26="No",CL54,DI54),BJ54)</f>
        <v>2.79</v>
      </c>
      <c r="O50" s="104">
        <f>IF(Premium!$C$7="FL",IF(Premium!$C$26="No",CM54,DJ54),BK54)</f>
        <v>9.44</v>
      </c>
      <c r="P50" s="100">
        <f>IF(Premium!$C$7="FL",IF(Premium!$C$26="No",CN54,DK54),BL54)</f>
        <v>5.43</v>
      </c>
      <c r="Q50" s="107">
        <f>IF(Premium!$C$7="FL",IF(Premium!$C$26="No",CO54,DL54),BM54)</f>
        <v>5.43</v>
      </c>
      <c r="R50" s="116">
        <f>IF(Premium!$C$7="FL",IF(Premium!$C$26="No",CP54,DM54),BN54)</f>
        <v>5.58</v>
      </c>
      <c r="S50" s="100">
        <f>IF(Premium!$C$7="FL",IF(Premium!$C$26="No",CQ54,DN54),BO54)</f>
        <v>3.07</v>
      </c>
      <c r="T50" s="107">
        <f>IF(Premium!$C$7="FL",IF(Premium!$C$26="No",CR54,DO54),BP54)</f>
        <v>3.07</v>
      </c>
      <c r="U50" s="104">
        <f>IF(Premium!$C$7="FL",IF(Premium!$C$26="No",CS54,DP54),BQ54)</f>
        <v>10.38</v>
      </c>
      <c r="V50" s="100">
        <f>IF(Premium!$C$7="FL",IF(Premium!$C$26="No",CT54,DQ54),BR54)</f>
        <v>5.97</v>
      </c>
      <c r="W50" s="101">
        <f>IF(Premium!$C$7="FL",IF(Premium!$C$26="No",CU54,DR54),BS54)</f>
        <v>5.97</v>
      </c>
      <c r="X50" s="15"/>
      <c r="Y50" s="116">
        <f>IF(Premium!$C$7="FL",IF(Premium!$C$26="No",CV54,DS54),BT54)</f>
        <v>1.43</v>
      </c>
      <c r="Z50" s="107">
        <f>IF(Premium!$C$7="FL",IF(Premium!$C$26="No",CW54,DT54),BU54)</f>
        <v>1.25</v>
      </c>
      <c r="AA50" s="104">
        <f t="shared" ref="AA50:AE50" si="41">BV54</f>
        <v>1.55</v>
      </c>
      <c r="AB50" s="107">
        <f t="shared" si="41"/>
        <v>1.34</v>
      </c>
      <c r="AC50" s="15">
        <f t="shared" si="41"/>
        <v>1.25</v>
      </c>
      <c r="AD50" s="113">
        <f t="shared" si="41"/>
        <v>5.7000000000000002E-2</v>
      </c>
      <c r="AE50" s="114">
        <f t="shared" si="41"/>
        <v>0.02</v>
      </c>
      <c r="AK50" s="182"/>
      <c r="AL50" s="182"/>
      <c r="AM50" s="182"/>
      <c r="AN50" s="182"/>
      <c r="AY50" s="342">
        <v>75</v>
      </c>
      <c r="AZ50" s="343">
        <v>244.71</v>
      </c>
      <c r="BA50" s="344">
        <v>286.27</v>
      </c>
      <c r="BB50" s="343">
        <v>339.9</v>
      </c>
      <c r="BC50" s="344">
        <v>395.07</v>
      </c>
      <c r="BD50" s="343">
        <v>339.9</v>
      </c>
      <c r="BE50" s="344">
        <v>395.07</v>
      </c>
      <c r="BF50" s="345">
        <v>1.57</v>
      </c>
      <c r="BG50" s="346">
        <v>13.23</v>
      </c>
      <c r="BH50" s="347">
        <v>4.1399999999999997</v>
      </c>
      <c r="BI50" s="348">
        <v>2.2400000000000002</v>
      </c>
      <c r="BJ50" s="345">
        <v>2.2400000000000002</v>
      </c>
      <c r="BK50" s="349">
        <v>7.29</v>
      </c>
      <c r="BL50" s="348">
        <v>4.17</v>
      </c>
      <c r="BM50" s="345">
        <v>4.17</v>
      </c>
      <c r="BN50" s="349">
        <v>4.55</v>
      </c>
      <c r="BO50" s="348">
        <v>2.46</v>
      </c>
      <c r="BP50" s="345">
        <v>2.46</v>
      </c>
      <c r="BQ50" s="348">
        <v>8.02</v>
      </c>
      <c r="BR50" s="348">
        <v>4.59</v>
      </c>
      <c r="BS50" s="348">
        <v>4.59</v>
      </c>
      <c r="BT50" s="347">
        <v>1.61</v>
      </c>
      <c r="BU50" s="344">
        <v>1.32</v>
      </c>
      <c r="BV50" s="347">
        <v>1.77</v>
      </c>
      <c r="BW50" s="344">
        <v>1.44</v>
      </c>
      <c r="BX50" s="343">
        <v>1.25</v>
      </c>
      <c r="BY50" s="350">
        <v>7.9000000000000001E-2</v>
      </c>
      <c r="BZ50" s="351">
        <v>2.7E-2</v>
      </c>
      <c r="CC50" s="342">
        <v>75</v>
      </c>
      <c r="CD50" s="343">
        <v>318.12</v>
      </c>
      <c r="CE50" s="344">
        <v>372.15</v>
      </c>
      <c r="CF50" s="343">
        <v>481.64</v>
      </c>
      <c r="CG50" s="344">
        <v>559.80999999999995</v>
      </c>
      <c r="CH50" s="343">
        <v>481.64</v>
      </c>
      <c r="CI50" s="344">
        <v>559.80999999999995</v>
      </c>
      <c r="CJ50" s="347">
        <v>4.1399999999999997</v>
      </c>
      <c r="CK50" s="348">
        <v>2.2400000000000002</v>
      </c>
      <c r="CL50" s="345">
        <v>2.2400000000000002</v>
      </c>
      <c r="CM50" s="349">
        <v>7.29</v>
      </c>
      <c r="CN50" s="348">
        <v>4.17</v>
      </c>
      <c r="CO50" s="345">
        <v>4.17</v>
      </c>
      <c r="CP50" s="349">
        <v>4.55</v>
      </c>
      <c r="CQ50" s="348">
        <v>2.46</v>
      </c>
      <c r="CR50" s="345">
        <v>2.46</v>
      </c>
      <c r="CS50" s="348">
        <v>8.02</v>
      </c>
      <c r="CT50" s="348">
        <v>4.59</v>
      </c>
      <c r="CU50" s="348">
        <v>4.59</v>
      </c>
      <c r="CV50" s="347">
        <v>1.61</v>
      </c>
      <c r="CW50" s="344">
        <v>1.32</v>
      </c>
      <c r="CZ50" s="342">
        <v>75</v>
      </c>
      <c r="DA50" s="343">
        <v>302.20999999999998</v>
      </c>
      <c r="DB50" s="344">
        <v>353.54</v>
      </c>
      <c r="DC50" s="343">
        <v>457.55</v>
      </c>
      <c r="DD50" s="344">
        <v>531.82000000000005</v>
      </c>
      <c r="DE50" s="343">
        <v>457.55</v>
      </c>
      <c r="DF50" s="344">
        <v>531.82000000000005</v>
      </c>
      <c r="DG50" s="347">
        <v>4.1399999999999997</v>
      </c>
      <c r="DH50" s="348">
        <v>2.2400000000000002</v>
      </c>
      <c r="DI50" s="345">
        <v>2.2400000000000002</v>
      </c>
      <c r="DJ50" s="349">
        <v>7.29</v>
      </c>
      <c r="DK50" s="348">
        <v>4.17</v>
      </c>
      <c r="DL50" s="345">
        <v>4.17</v>
      </c>
      <c r="DM50" s="349">
        <v>4.55</v>
      </c>
      <c r="DN50" s="348">
        <v>2.46</v>
      </c>
      <c r="DO50" s="345">
        <v>2.46</v>
      </c>
      <c r="DP50" s="348">
        <v>8.02</v>
      </c>
      <c r="DQ50" s="348">
        <v>4.59</v>
      </c>
      <c r="DR50" s="348">
        <v>4.59</v>
      </c>
      <c r="DS50" s="347">
        <v>1.61</v>
      </c>
      <c r="DT50" s="344">
        <v>1.32</v>
      </c>
    </row>
    <row r="51" spans="1:125">
      <c r="AK51" s="182"/>
      <c r="AL51" s="182"/>
      <c r="AM51" s="182"/>
      <c r="AN51" s="182"/>
      <c r="AY51" s="342">
        <v>76</v>
      </c>
      <c r="AZ51" s="343">
        <v>273.12</v>
      </c>
      <c r="BA51" s="344">
        <v>318.79000000000002</v>
      </c>
      <c r="BB51" s="343">
        <v>372.8</v>
      </c>
      <c r="BC51" s="344">
        <v>432.42</v>
      </c>
      <c r="BD51" s="343">
        <v>372.8</v>
      </c>
      <c r="BE51" s="344">
        <v>432.42</v>
      </c>
      <c r="BF51" s="345">
        <v>1.53</v>
      </c>
      <c r="BG51" s="346">
        <v>12.95</v>
      </c>
      <c r="BH51" s="347">
        <v>4.3499999999999996</v>
      </c>
      <c r="BI51" s="348">
        <v>2.38</v>
      </c>
      <c r="BJ51" s="345">
        <v>2.38</v>
      </c>
      <c r="BK51" s="349">
        <v>7.78</v>
      </c>
      <c r="BL51" s="348">
        <v>4.46</v>
      </c>
      <c r="BM51" s="345">
        <v>4.46</v>
      </c>
      <c r="BN51" s="349">
        <v>4.79</v>
      </c>
      <c r="BO51" s="348">
        <v>2.62</v>
      </c>
      <c r="BP51" s="345">
        <v>2.62</v>
      </c>
      <c r="BQ51" s="348">
        <v>8.56</v>
      </c>
      <c r="BR51" s="348">
        <v>4.91</v>
      </c>
      <c r="BS51" s="348">
        <v>4.91</v>
      </c>
      <c r="BT51" s="347">
        <v>1.56</v>
      </c>
      <c r="BU51" s="344">
        <v>1.3</v>
      </c>
      <c r="BV51" s="347">
        <v>1.72</v>
      </c>
      <c r="BW51" s="344">
        <v>1.42</v>
      </c>
      <c r="BX51" s="343">
        <v>1.25</v>
      </c>
      <c r="BY51" s="350">
        <v>7.2999999999999995E-2</v>
      </c>
      <c r="BZ51" s="351">
        <v>2.5000000000000001E-2</v>
      </c>
      <c r="CC51" s="342">
        <v>76</v>
      </c>
      <c r="CD51" s="343">
        <v>355.06</v>
      </c>
      <c r="CE51" s="344">
        <v>414.43</v>
      </c>
      <c r="CF51" s="343">
        <v>528.26</v>
      </c>
      <c r="CG51" s="344">
        <v>612.74</v>
      </c>
      <c r="CH51" s="343">
        <v>528.26</v>
      </c>
      <c r="CI51" s="344">
        <v>612.74</v>
      </c>
      <c r="CJ51" s="347">
        <v>4.3499999999999996</v>
      </c>
      <c r="CK51" s="348">
        <v>2.38</v>
      </c>
      <c r="CL51" s="345">
        <v>2.38</v>
      </c>
      <c r="CM51" s="349">
        <v>7.78</v>
      </c>
      <c r="CN51" s="348">
        <v>4.46</v>
      </c>
      <c r="CO51" s="345">
        <v>4.46</v>
      </c>
      <c r="CP51" s="349">
        <v>4.79</v>
      </c>
      <c r="CQ51" s="348">
        <v>2.62</v>
      </c>
      <c r="CR51" s="345">
        <v>2.62</v>
      </c>
      <c r="CS51" s="348">
        <v>8.56</v>
      </c>
      <c r="CT51" s="348">
        <v>4.91</v>
      </c>
      <c r="CU51" s="348">
        <v>4.91</v>
      </c>
      <c r="CV51" s="347">
        <v>1.56</v>
      </c>
      <c r="CW51" s="344">
        <v>1.3</v>
      </c>
      <c r="CZ51" s="342">
        <v>76</v>
      </c>
      <c r="DA51" s="343">
        <v>337.3</v>
      </c>
      <c r="DB51" s="344">
        <v>393.7</v>
      </c>
      <c r="DC51" s="343">
        <v>501.84</v>
      </c>
      <c r="DD51" s="344">
        <v>582.1</v>
      </c>
      <c r="DE51" s="343">
        <v>501.84</v>
      </c>
      <c r="DF51" s="344">
        <v>582.1</v>
      </c>
      <c r="DG51" s="347">
        <v>4.3499999999999996</v>
      </c>
      <c r="DH51" s="348">
        <v>2.38</v>
      </c>
      <c r="DI51" s="345">
        <v>2.38</v>
      </c>
      <c r="DJ51" s="349">
        <v>7.78</v>
      </c>
      <c r="DK51" s="348">
        <v>4.46</v>
      </c>
      <c r="DL51" s="345">
        <v>4.46</v>
      </c>
      <c r="DM51" s="349">
        <v>4.79</v>
      </c>
      <c r="DN51" s="348">
        <v>2.62</v>
      </c>
      <c r="DO51" s="345">
        <v>2.62</v>
      </c>
      <c r="DP51" s="348">
        <v>8.56</v>
      </c>
      <c r="DQ51" s="348">
        <v>4.91</v>
      </c>
      <c r="DR51" s="348">
        <v>4.91</v>
      </c>
      <c r="DS51" s="347">
        <v>1.56</v>
      </c>
      <c r="DT51" s="344">
        <v>1.3</v>
      </c>
    </row>
    <row r="52" spans="1:125">
      <c r="AK52" s="182"/>
      <c r="AL52" s="182"/>
      <c r="AM52" s="182"/>
      <c r="AN52" s="182"/>
      <c r="AY52" s="342">
        <v>77</v>
      </c>
      <c r="AZ52" s="343">
        <v>304.83</v>
      </c>
      <c r="BA52" s="344">
        <v>354.99</v>
      </c>
      <c r="BB52" s="343">
        <v>408.88</v>
      </c>
      <c r="BC52" s="344">
        <v>473.3</v>
      </c>
      <c r="BD52" s="343">
        <v>408.88</v>
      </c>
      <c r="BE52" s="344">
        <v>473.3</v>
      </c>
      <c r="BF52" s="345">
        <v>1.5</v>
      </c>
      <c r="BG52" s="346">
        <v>12.68</v>
      </c>
      <c r="BH52" s="347">
        <v>4.58</v>
      </c>
      <c r="BI52" s="348">
        <v>2.5099999999999998</v>
      </c>
      <c r="BJ52" s="345">
        <v>2.5099999999999998</v>
      </c>
      <c r="BK52" s="349">
        <v>8.2899999999999991</v>
      </c>
      <c r="BL52" s="348">
        <v>4.76</v>
      </c>
      <c r="BM52" s="345">
        <v>4.76</v>
      </c>
      <c r="BN52" s="349">
        <v>5.04</v>
      </c>
      <c r="BO52" s="348">
        <v>2.76</v>
      </c>
      <c r="BP52" s="345">
        <v>2.76</v>
      </c>
      <c r="BQ52" s="348">
        <v>9.1199999999999992</v>
      </c>
      <c r="BR52" s="348">
        <v>5.24</v>
      </c>
      <c r="BS52" s="348">
        <v>5.24</v>
      </c>
      <c r="BT52" s="347">
        <v>1.52</v>
      </c>
      <c r="BU52" s="344">
        <v>1.28</v>
      </c>
      <c r="BV52" s="347">
        <v>1.66</v>
      </c>
      <c r="BW52" s="344">
        <v>1.39</v>
      </c>
      <c r="BX52" s="343">
        <v>1.25</v>
      </c>
      <c r="BY52" s="350">
        <v>6.7000000000000004E-2</v>
      </c>
      <c r="BZ52" s="351">
        <v>2.3E-2</v>
      </c>
      <c r="CC52" s="342">
        <v>77</v>
      </c>
      <c r="CD52" s="343">
        <v>396.28</v>
      </c>
      <c r="CE52" s="344">
        <v>461.49</v>
      </c>
      <c r="CF52" s="343">
        <v>579.38</v>
      </c>
      <c r="CG52" s="344">
        <v>670.67</v>
      </c>
      <c r="CH52" s="343">
        <v>579.38</v>
      </c>
      <c r="CI52" s="344">
        <v>670.67</v>
      </c>
      <c r="CJ52" s="347">
        <v>4.58</v>
      </c>
      <c r="CK52" s="348">
        <v>2.5099999999999998</v>
      </c>
      <c r="CL52" s="345">
        <v>2.5099999999999998</v>
      </c>
      <c r="CM52" s="349">
        <v>8.2899999999999991</v>
      </c>
      <c r="CN52" s="348">
        <v>4.76</v>
      </c>
      <c r="CO52" s="345">
        <v>4.76</v>
      </c>
      <c r="CP52" s="349">
        <v>5.04</v>
      </c>
      <c r="CQ52" s="348">
        <v>2.76</v>
      </c>
      <c r="CR52" s="345">
        <v>2.76</v>
      </c>
      <c r="CS52" s="348">
        <v>9.1199999999999992</v>
      </c>
      <c r="CT52" s="348">
        <v>5.24</v>
      </c>
      <c r="CU52" s="348">
        <v>5.24</v>
      </c>
      <c r="CV52" s="347">
        <v>1.52</v>
      </c>
      <c r="CW52" s="344">
        <v>1.28</v>
      </c>
      <c r="CZ52" s="342">
        <v>77</v>
      </c>
      <c r="DA52" s="343">
        <v>376.46</v>
      </c>
      <c r="DB52" s="344">
        <v>438.41</v>
      </c>
      <c r="DC52" s="343">
        <v>550.41</v>
      </c>
      <c r="DD52" s="344">
        <v>637.13</v>
      </c>
      <c r="DE52" s="343">
        <v>550.41</v>
      </c>
      <c r="DF52" s="344">
        <v>637.13</v>
      </c>
      <c r="DG52" s="347">
        <v>4.58</v>
      </c>
      <c r="DH52" s="348">
        <v>2.5099999999999998</v>
      </c>
      <c r="DI52" s="345">
        <v>2.5099999999999998</v>
      </c>
      <c r="DJ52" s="349">
        <v>8.2899999999999991</v>
      </c>
      <c r="DK52" s="348">
        <v>4.76</v>
      </c>
      <c r="DL52" s="345">
        <v>4.76</v>
      </c>
      <c r="DM52" s="349">
        <v>5.04</v>
      </c>
      <c r="DN52" s="348">
        <v>2.76</v>
      </c>
      <c r="DO52" s="345">
        <v>2.76</v>
      </c>
      <c r="DP52" s="348">
        <v>9.1199999999999992</v>
      </c>
      <c r="DQ52" s="348">
        <v>5.24</v>
      </c>
      <c r="DR52" s="348">
        <v>5.24</v>
      </c>
      <c r="DS52" s="347">
        <v>1.52</v>
      </c>
      <c r="DT52" s="344">
        <v>1.28</v>
      </c>
    </row>
    <row r="53" spans="1:125" s="29" customFormat="1" ht="18.75">
      <c r="A53" s="46" t="s">
        <v>12</v>
      </c>
      <c r="B53" s="61"/>
      <c r="C53" s="61"/>
      <c r="D53" s="61"/>
      <c r="E53" s="62"/>
      <c r="F53" s="61"/>
      <c r="G53" s="62"/>
      <c r="H53" s="62"/>
      <c r="I53" s="62"/>
      <c r="J53" s="28"/>
      <c r="K53" s="28"/>
      <c r="L53" s="28"/>
      <c r="M53" s="28"/>
      <c r="N53" s="28"/>
      <c r="O53" s="28"/>
      <c r="P53" s="28"/>
      <c r="Q53" s="28"/>
      <c r="R53" s="28"/>
      <c r="S53" s="28"/>
      <c r="T53" s="28"/>
      <c r="U53" s="28"/>
      <c r="V53" s="28"/>
      <c r="W53" s="47"/>
      <c r="X53" s="47"/>
      <c r="Y53" s="47"/>
      <c r="Z53" s="47"/>
      <c r="AA53" s="47"/>
      <c r="AK53" s="182"/>
      <c r="AL53" s="182"/>
      <c r="AM53" s="182"/>
      <c r="AN53" s="182"/>
      <c r="AT53" s="196"/>
      <c r="AU53" s="196"/>
      <c r="AX53" s="352"/>
      <c r="AY53" s="342">
        <v>78</v>
      </c>
      <c r="AZ53" s="343">
        <v>340.22</v>
      </c>
      <c r="BA53" s="344">
        <v>395.32</v>
      </c>
      <c r="BB53" s="343">
        <v>448.45</v>
      </c>
      <c r="BC53" s="344">
        <v>518.04999999999995</v>
      </c>
      <c r="BD53" s="343">
        <v>448.45</v>
      </c>
      <c r="BE53" s="344">
        <v>518.04999999999995</v>
      </c>
      <c r="BF53" s="345">
        <v>1.46</v>
      </c>
      <c r="BG53" s="346">
        <v>12.41</v>
      </c>
      <c r="BH53" s="347">
        <v>4.82</v>
      </c>
      <c r="BI53" s="348">
        <v>2.65</v>
      </c>
      <c r="BJ53" s="345">
        <v>2.65</v>
      </c>
      <c r="BK53" s="349">
        <v>8.86</v>
      </c>
      <c r="BL53" s="348">
        <v>5.08</v>
      </c>
      <c r="BM53" s="345">
        <v>5.08</v>
      </c>
      <c r="BN53" s="349">
        <v>5.3</v>
      </c>
      <c r="BO53" s="348">
        <v>2.92</v>
      </c>
      <c r="BP53" s="345">
        <v>2.92</v>
      </c>
      <c r="BQ53" s="348">
        <v>9.75</v>
      </c>
      <c r="BR53" s="348">
        <v>5.59</v>
      </c>
      <c r="BS53" s="348">
        <v>5.59</v>
      </c>
      <c r="BT53" s="347">
        <v>1.47</v>
      </c>
      <c r="BU53" s="344">
        <v>1.26</v>
      </c>
      <c r="BV53" s="347">
        <v>1.6</v>
      </c>
      <c r="BW53" s="344">
        <v>1.36</v>
      </c>
      <c r="BX53" s="343">
        <v>1.25</v>
      </c>
      <c r="BY53" s="350">
        <v>6.0999999999999999E-2</v>
      </c>
      <c r="BZ53" s="351">
        <v>2.1000000000000001E-2</v>
      </c>
      <c r="CA53" s="352"/>
      <c r="CB53" s="352"/>
      <c r="CC53" s="342">
        <v>78</v>
      </c>
      <c r="CD53" s="343">
        <v>442.29</v>
      </c>
      <c r="CE53" s="344">
        <v>513.91999999999996</v>
      </c>
      <c r="CF53" s="343">
        <v>635.46</v>
      </c>
      <c r="CG53" s="344">
        <v>734.08</v>
      </c>
      <c r="CH53" s="343">
        <v>635.46</v>
      </c>
      <c r="CI53" s="344">
        <v>734.08</v>
      </c>
      <c r="CJ53" s="347">
        <v>4.82</v>
      </c>
      <c r="CK53" s="348">
        <v>2.65</v>
      </c>
      <c r="CL53" s="345">
        <v>2.65</v>
      </c>
      <c r="CM53" s="349">
        <v>8.86</v>
      </c>
      <c r="CN53" s="348">
        <v>5.08</v>
      </c>
      <c r="CO53" s="345">
        <v>5.08</v>
      </c>
      <c r="CP53" s="349">
        <v>5.3</v>
      </c>
      <c r="CQ53" s="348">
        <v>2.92</v>
      </c>
      <c r="CR53" s="345">
        <v>2.92</v>
      </c>
      <c r="CS53" s="348">
        <v>9.75</v>
      </c>
      <c r="CT53" s="348">
        <v>5.59</v>
      </c>
      <c r="CU53" s="348">
        <v>5.59</v>
      </c>
      <c r="CV53" s="347">
        <v>1.47</v>
      </c>
      <c r="CW53" s="344">
        <v>1.26</v>
      </c>
      <c r="CX53" s="303"/>
      <c r="CY53" s="352"/>
      <c r="CZ53" s="342">
        <v>78</v>
      </c>
      <c r="DA53" s="343">
        <v>420.17</v>
      </c>
      <c r="DB53" s="344">
        <v>488.22</v>
      </c>
      <c r="DC53" s="343">
        <v>603.69000000000005</v>
      </c>
      <c r="DD53" s="344">
        <v>697.37</v>
      </c>
      <c r="DE53" s="343">
        <v>603.69000000000005</v>
      </c>
      <c r="DF53" s="344">
        <v>697.37</v>
      </c>
      <c r="DG53" s="347">
        <v>4.82</v>
      </c>
      <c r="DH53" s="348">
        <v>2.65</v>
      </c>
      <c r="DI53" s="345">
        <v>2.65</v>
      </c>
      <c r="DJ53" s="349">
        <v>8.86</v>
      </c>
      <c r="DK53" s="348">
        <v>5.08</v>
      </c>
      <c r="DL53" s="345">
        <v>5.08</v>
      </c>
      <c r="DM53" s="349">
        <v>5.3</v>
      </c>
      <c r="DN53" s="348">
        <v>2.92</v>
      </c>
      <c r="DO53" s="345">
        <v>2.92</v>
      </c>
      <c r="DP53" s="348">
        <v>9.75</v>
      </c>
      <c r="DQ53" s="348">
        <v>5.59</v>
      </c>
      <c r="DR53" s="348">
        <v>5.59</v>
      </c>
      <c r="DS53" s="347">
        <v>1.47</v>
      </c>
      <c r="DT53" s="344">
        <v>1.26</v>
      </c>
      <c r="DU53" s="303"/>
    </row>
    <row r="54" spans="1:125" s="37" customFormat="1" ht="16.5" thickBot="1">
      <c r="A54" s="122"/>
      <c r="B54" s="123"/>
      <c r="C54" s="124"/>
      <c r="D54" s="125"/>
      <c r="E54" s="125"/>
      <c r="F54" s="125"/>
      <c r="G54" s="48"/>
      <c r="H54" s="18"/>
      <c r="I54" s="18"/>
      <c r="J54" s="18"/>
      <c r="K54" s="18"/>
      <c r="AK54" s="182"/>
      <c r="AL54" s="182"/>
      <c r="AM54" s="182"/>
      <c r="AN54" s="182"/>
      <c r="AT54" s="196"/>
      <c r="AU54" s="196"/>
      <c r="AX54" s="353"/>
      <c r="AY54" s="354">
        <v>79</v>
      </c>
      <c r="AZ54" s="355">
        <v>379.72</v>
      </c>
      <c r="BA54" s="356">
        <v>440.22</v>
      </c>
      <c r="BB54" s="355">
        <v>491.85</v>
      </c>
      <c r="BC54" s="356">
        <v>567.03</v>
      </c>
      <c r="BD54" s="355">
        <v>491.85</v>
      </c>
      <c r="BE54" s="356">
        <v>567.03</v>
      </c>
      <c r="BF54" s="357">
        <v>1.43</v>
      </c>
      <c r="BG54" s="358">
        <v>12.15</v>
      </c>
      <c r="BH54" s="359">
        <v>5.07</v>
      </c>
      <c r="BI54" s="360">
        <v>2.79</v>
      </c>
      <c r="BJ54" s="357">
        <v>2.79</v>
      </c>
      <c r="BK54" s="361">
        <v>9.44</v>
      </c>
      <c r="BL54" s="360">
        <v>5.43</v>
      </c>
      <c r="BM54" s="357">
        <v>5.43</v>
      </c>
      <c r="BN54" s="361">
        <v>5.58</v>
      </c>
      <c r="BO54" s="360">
        <v>3.07</v>
      </c>
      <c r="BP54" s="357">
        <v>3.07</v>
      </c>
      <c r="BQ54" s="360">
        <v>10.38</v>
      </c>
      <c r="BR54" s="360">
        <v>5.97</v>
      </c>
      <c r="BS54" s="360">
        <v>5.97</v>
      </c>
      <c r="BT54" s="359">
        <v>1.43</v>
      </c>
      <c r="BU54" s="356">
        <v>1.25</v>
      </c>
      <c r="BV54" s="359">
        <v>1.55</v>
      </c>
      <c r="BW54" s="356">
        <v>1.34</v>
      </c>
      <c r="BX54" s="355">
        <v>1.25</v>
      </c>
      <c r="BY54" s="362">
        <v>5.7000000000000002E-2</v>
      </c>
      <c r="BZ54" s="363">
        <v>0.02</v>
      </c>
      <c r="CA54" s="353"/>
      <c r="CB54" s="353"/>
      <c r="CC54" s="354">
        <v>79</v>
      </c>
      <c r="CD54" s="355">
        <v>493.64</v>
      </c>
      <c r="CE54" s="356">
        <v>572.29</v>
      </c>
      <c r="CF54" s="355">
        <v>696.96</v>
      </c>
      <c r="CG54" s="356">
        <v>803.48</v>
      </c>
      <c r="CH54" s="355">
        <v>696.96</v>
      </c>
      <c r="CI54" s="356">
        <v>803.48</v>
      </c>
      <c r="CJ54" s="359">
        <v>5.07</v>
      </c>
      <c r="CK54" s="360">
        <v>2.79</v>
      </c>
      <c r="CL54" s="357">
        <v>2.79</v>
      </c>
      <c r="CM54" s="361">
        <v>9.44</v>
      </c>
      <c r="CN54" s="360">
        <v>5.43</v>
      </c>
      <c r="CO54" s="357">
        <v>5.43</v>
      </c>
      <c r="CP54" s="361">
        <v>5.58</v>
      </c>
      <c r="CQ54" s="360">
        <v>3.07</v>
      </c>
      <c r="CR54" s="357">
        <v>3.07</v>
      </c>
      <c r="CS54" s="360">
        <v>10.38</v>
      </c>
      <c r="CT54" s="360">
        <v>5.97</v>
      </c>
      <c r="CU54" s="360">
        <v>5.97</v>
      </c>
      <c r="CV54" s="359">
        <v>1.43</v>
      </c>
      <c r="CW54" s="356">
        <v>1.25</v>
      </c>
      <c r="CX54" s="303"/>
      <c r="CY54" s="353"/>
      <c r="CZ54" s="354">
        <v>79</v>
      </c>
      <c r="DA54" s="355">
        <v>468.95</v>
      </c>
      <c r="DB54" s="356">
        <v>543.66999999999996</v>
      </c>
      <c r="DC54" s="355">
        <v>662.1</v>
      </c>
      <c r="DD54" s="356">
        <v>763.31</v>
      </c>
      <c r="DE54" s="355">
        <v>662.1</v>
      </c>
      <c r="DF54" s="356">
        <v>763.31</v>
      </c>
      <c r="DG54" s="359">
        <v>5.07</v>
      </c>
      <c r="DH54" s="360">
        <v>2.79</v>
      </c>
      <c r="DI54" s="357">
        <v>2.79</v>
      </c>
      <c r="DJ54" s="361">
        <v>9.44</v>
      </c>
      <c r="DK54" s="360">
        <v>5.43</v>
      </c>
      <c r="DL54" s="357">
        <v>5.43</v>
      </c>
      <c r="DM54" s="361">
        <v>5.58</v>
      </c>
      <c r="DN54" s="360">
        <v>3.07</v>
      </c>
      <c r="DO54" s="357">
        <v>3.07</v>
      </c>
      <c r="DP54" s="360">
        <v>10.38</v>
      </c>
      <c r="DQ54" s="360">
        <v>5.97</v>
      </c>
      <c r="DR54" s="360">
        <v>5.97</v>
      </c>
      <c r="DS54" s="359">
        <v>1.43</v>
      </c>
      <c r="DT54" s="356">
        <v>1.25</v>
      </c>
      <c r="DU54" s="303"/>
    </row>
    <row r="55" spans="1:125" s="22" customFormat="1" ht="16.5" thickBot="1">
      <c r="A55" s="525" t="s">
        <v>13</v>
      </c>
      <c r="B55" s="525"/>
      <c r="C55" s="17"/>
      <c r="D55" s="19"/>
      <c r="E55" s="525" t="s">
        <v>14</v>
      </c>
      <c r="F55" s="525"/>
      <c r="G55" s="45"/>
      <c r="H55" s="45"/>
      <c r="J55" s="21"/>
      <c r="K55" s="21"/>
      <c r="AK55" s="182"/>
      <c r="AL55" s="182"/>
      <c r="AM55" s="182"/>
      <c r="AN55" s="182"/>
      <c r="AT55" s="196"/>
      <c r="AU55" s="196"/>
      <c r="AX55" s="364"/>
      <c r="AY55" s="303"/>
      <c r="AZ55" s="303"/>
      <c r="BA55" s="303"/>
      <c r="BB55" s="303"/>
      <c r="BC55" s="303"/>
      <c r="BD55" s="303"/>
      <c r="BE55" s="303"/>
      <c r="BF55" s="303"/>
      <c r="BG55" s="303"/>
      <c r="BH55" s="303"/>
      <c r="BI55" s="303"/>
      <c r="BJ55" s="303"/>
      <c r="BK55" s="303"/>
      <c r="BL55" s="303"/>
      <c r="BM55" s="303"/>
      <c r="BN55" s="303"/>
      <c r="BO55" s="303"/>
      <c r="BP55" s="303"/>
      <c r="BQ55" s="303"/>
      <c r="BR55" s="303"/>
      <c r="BS55" s="303"/>
      <c r="BT55" s="303"/>
      <c r="BU55" s="303"/>
      <c r="BV55" s="303"/>
      <c r="BW55" s="303"/>
      <c r="BX55" s="303"/>
      <c r="BY55" s="303"/>
      <c r="BZ55" s="303"/>
      <c r="CA55" s="364"/>
      <c r="CB55" s="364"/>
      <c r="CC55" s="303"/>
      <c r="CD55" s="303"/>
      <c r="CE55" s="303"/>
      <c r="CF55" s="303"/>
      <c r="CG55" s="303"/>
      <c r="CH55" s="303"/>
      <c r="CI55" s="303"/>
      <c r="CJ55" s="303"/>
      <c r="CK55" s="303"/>
      <c r="CL55" s="303"/>
      <c r="CM55" s="303"/>
      <c r="CN55" s="303"/>
      <c r="CO55" s="303"/>
      <c r="CP55" s="303"/>
      <c r="CQ55" s="303"/>
      <c r="CR55" s="303"/>
      <c r="CS55" s="303"/>
      <c r="CT55" s="303"/>
      <c r="CU55" s="303"/>
      <c r="CV55" s="303"/>
      <c r="CW55" s="303"/>
      <c r="CX55" s="303"/>
      <c r="CY55" s="364"/>
      <c r="CZ55" s="303"/>
      <c r="DA55" s="303"/>
      <c r="DB55" s="303"/>
      <c r="DC55" s="303"/>
      <c r="DD55" s="303"/>
      <c r="DE55" s="303"/>
      <c r="DF55" s="303"/>
      <c r="DG55" s="303"/>
      <c r="DH55" s="303"/>
      <c r="DI55" s="303"/>
      <c r="DJ55" s="303"/>
      <c r="DK55" s="303"/>
      <c r="DL55" s="303"/>
      <c r="DM55" s="303"/>
      <c r="DN55" s="303"/>
      <c r="DO55" s="303"/>
      <c r="DP55" s="303"/>
      <c r="DQ55" s="303"/>
      <c r="DR55" s="303"/>
      <c r="DS55" s="303"/>
      <c r="DT55" s="303"/>
      <c r="DU55" s="303"/>
    </row>
    <row r="56" spans="1:125" s="22" customFormat="1" ht="16.5" thickBot="1">
      <c r="A56" s="63" t="s">
        <v>67</v>
      </c>
      <c r="B56" s="26">
        <v>0.8</v>
      </c>
      <c r="C56" s="26"/>
      <c r="D56" s="20"/>
      <c r="E56" s="64" t="s">
        <v>16</v>
      </c>
      <c r="F56" s="26">
        <v>1.4</v>
      </c>
      <c r="I56" s="21"/>
      <c r="J56" s="21"/>
      <c r="K56" s="21"/>
      <c r="AK56" s="182"/>
      <c r="AL56" s="182"/>
      <c r="AM56" s="182"/>
      <c r="AN56" s="182"/>
      <c r="AT56" s="196"/>
      <c r="AU56" s="196"/>
      <c r="AX56" s="364"/>
      <c r="AY56" s="365" t="s">
        <v>12</v>
      </c>
      <c r="AZ56" s="366"/>
      <c r="BA56" s="366"/>
      <c r="BB56" s="366"/>
      <c r="BC56" s="367"/>
      <c r="BD56" s="366"/>
      <c r="BE56" s="367"/>
      <c r="BF56" s="368"/>
      <c r="BG56" s="369"/>
      <c r="BH56" s="369"/>
      <c r="BI56" s="369"/>
      <c r="BJ56" s="369"/>
      <c r="BK56" s="369"/>
      <c r="BL56" s="369"/>
      <c r="BM56" s="369"/>
      <c r="BN56" s="369"/>
      <c r="BO56" s="369"/>
      <c r="BP56" s="369"/>
      <c r="BQ56" s="369"/>
      <c r="BR56" s="369"/>
      <c r="BS56" s="370"/>
      <c r="BT56" s="370"/>
      <c r="BU56" s="370"/>
      <c r="BV56" s="370"/>
      <c r="BW56" s="371"/>
      <c r="BX56" s="371"/>
      <c r="BY56" s="371"/>
      <c r="BZ56" s="371"/>
      <c r="CA56" s="364"/>
      <c r="CB56" s="364"/>
      <c r="CC56" s="365" t="s">
        <v>12</v>
      </c>
      <c r="CD56" s="366"/>
      <c r="CE56" s="366"/>
      <c r="CF56" s="366"/>
      <c r="CG56" s="367"/>
      <c r="CH56" s="366"/>
      <c r="CI56" s="367"/>
      <c r="CJ56" s="368"/>
      <c r="CK56" s="369"/>
      <c r="CL56" s="369"/>
      <c r="CM56" s="369"/>
      <c r="CN56" s="369"/>
      <c r="CO56" s="369"/>
      <c r="CP56" s="369"/>
      <c r="CQ56" s="369"/>
      <c r="CR56" s="369"/>
      <c r="CS56" s="369"/>
      <c r="CT56" s="369"/>
      <c r="CU56" s="369"/>
      <c r="CV56" s="369"/>
      <c r="CW56" s="370"/>
      <c r="CX56" s="371"/>
      <c r="CY56" s="364"/>
      <c r="CZ56" s="365" t="s">
        <v>12</v>
      </c>
      <c r="DA56" s="366"/>
      <c r="DB56" s="366"/>
      <c r="DC56" s="366"/>
      <c r="DD56" s="367"/>
      <c r="DE56" s="366"/>
      <c r="DF56" s="367"/>
      <c r="DG56" s="368"/>
      <c r="DH56" s="369"/>
      <c r="DI56" s="369"/>
      <c r="DJ56" s="369"/>
      <c r="DK56" s="369"/>
      <c r="DL56" s="369"/>
      <c r="DM56" s="369"/>
      <c r="DN56" s="369"/>
      <c r="DO56" s="369"/>
      <c r="DP56" s="369"/>
      <c r="DQ56" s="369"/>
      <c r="DR56" s="369"/>
      <c r="DS56" s="369"/>
      <c r="DT56" s="370"/>
      <c r="DU56" s="371"/>
    </row>
    <row r="57" spans="1:125" s="22" customFormat="1">
      <c r="A57" s="63" t="s">
        <v>68</v>
      </c>
      <c r="B57" s="26">
        <v>1</v>
      </c>
      <c r="C57" s="26"/>
      <c r="D57" s="19"/>
      <c r="E57" s="64" t="s">
        <v>18</v>
      </c>
      <c r="F57" s="26">
        <v>1.2</v>
      </c>
      <c r="I57" s="21"/>
      <c r="J57" s="21"/>
      <c r="K57" s="21"/>
      <c r="AK57" s="182"/>
      <c r="AL57" s="182"/>
      <c r="AM57" s="182"/>
      <c r="AN57" s="182"/>
      <c r="AT57" s="196"/>
      <c r="AU57" s="196"/>
      <c r="AX57" s="364"/>
      <c r="AY57" s="372"/>
      <c r="AZ57" s="373"/>
      <c r="BA57" s="374"/>
      <c r="BB57" s="375"/>
      <c r="BC57" s="375"/>
      <c r="BD57" s="375"/>
      <c r="BE57" s="375"/>
      <c r="BF57" s="376"/>
      <c r="BG57" s="377"/>
      <c r="BH57" s="377"/>
      <c r="BI57" s="377"/>
      <c r="BJ57" s="377"/>
      <c r="BK57" s="377"/>
      <c r="BL57" s="377"/>
      <c r="BM57" s="377"/>
      <c r="BN57" s="377"/>
      <c r="BO57" s="377"/>
      <c r="BP57" s="377"/>
      <c r="BQ57" s="377"/>
      <c r="BR57" s="377"/>
      <c r="BS57" s="378"/>
      <c r="BT57" s="378"/>
      <c r="BU57" s="378"/>
      <c r="BV57" s="378"/>
      <c r="BW57" s="379"/>
      <c r="BX57" s="379"/>
      <c r="BY57" s="379"/>
      <c r="BZ57" s="379"/>
      <c r="CA57" s="364"/>
      <c r="CB57" s="364"/>
      <c r="CC57" s="372"/>
      <c r="CD57" s="373"/>
      <c r="CE57" s="374"/>
      <c r="CF57" s="375"/>
      <c r="CG57" s="375"/>
      <c r="CH57" s="375"/>
      <c r="CI57" s="375"/>
      <c r="CJ57" s="376"/>
      <c r="CK57" s="377"/>
      <c r="CL57" s="377"/>
      <c r="CM57" s="377"/>
      <c r="CN57" s="377"/>
      <c r="CO57" s="377"/>
      <c r="CP57" s="377"/>
      <c r="CQ57" s="377"/>
      <c r="CR57" s="377"/>
      <c r="CS57" s="377"/>
      <c r="CT57" s="377"/>
      <c r="CU57" s="377"/>
      <c r="CV57" s="377"/>
      <c r="CW57" s="378"/>
      <c r="CX57" s="379"/>
      <c r="CY57" s="364"/>
      <c r="CZ57" s="372"/>
      <c r="DA57" s="373"/>
      <c r="DB57" s="374"/>
      <c r="DC57" s="375"/>
      <c r="DD57" s="375"/>
      <c r="DE57" s="375"/>
      <c r="DF57" s="375"/>
      <c r="DG57" s="376"/>
      <c r="DH57" s="377"/>
      <c r="DI57" s="377"/>
      <c r="DJ57" s="377"/>
      <c r="DK57" s="377"/>
      <c r="DL57" s="377"/>
      <c r="DM57" s="377"/>
      <c r="DN57" s="377"/>
      <c r="DO57" s="377"/>
      <c r="DP57" s="377"/>
      <c r="DQ57" s="377"/>
      <c r="DR57" s="377"/>
      <c r="DS57" s="377"/>
      <c r="DT57" s="378"/>
      <c r="DU57" s="379"/>
    </row>
    <row r="58" spans="1:125" s="22" customFormat="1">
      <c r="A58" s="63" t="s">
        <v>69</v>
      </c>
      <c r="B58" s="26">
        <v>1.25</v>
      </c>
      <c r="C58" s="26"/>
      <c r="D58" s="19"/>
      <c r="E58" s="64" t="s">
        <v>20</v>
      </c>
      <c r="F58" s="26">
        <v>1</v>
      </c>
      <c r="I58" s="21"/>
      <c r="J58" s="21"/>
      <c r="K58" s="21"/>
      <c r="AK58" s="182"/>
      <c r="AL58" s="182"/>
      <c r="AM58" s="182"/>
      <c r="AN58" s="182"/>
      <c r="AT58" s="196"/>
      <c r="AU58" s="196"/>
      <c r="AX58" s="364"/>
      <c r="AY58" s="380" t="s">
        <v>13</v>
      </c>
      <c r="AZ58" s="381"/>
      <c r="BA58" s="382"/>
      <c r="BB58" s="383"/>
      <c r="BC58" s="384" t="s">
        <v>14</v>
      </c>
      <c r="BD58" s="381"/>
      <c r="BE58" s="385"/>
      <c r="BF58" s="386"/>
      <c r="BG58" s="387"/>
      <c r="BH58" s="387"/>
      <c r="BI58" s="387"/>
      <c r="BJ58" s="387"/>
      <c r="BK58" s="387"/>
      <c r="BL58" s="387"/>
      <c r="BM58" s="387"/>
      <c r="BN58" s="387"/>
      <c r="BO58" s="387"/>
      <c r="BP58" s="387"/>
      <c r="BQ58" s="387"/>
      <c r="BR58" s="387"/>
      <c r="BS58" s="370"/>
      <c r="BT58" s="370"/>
      <c r="BU58" s="370"/>
      <c r="BV58" s="370"/>
      <c r="BW58" s="371"/>
      <c r="BX58" s="371"/>
      <c r="BY58" s="371"/>
      <c r="BZ58" s="371"/>
      <c r="CA58" s="364"/>
      <c r="CB58" s="364"/>
      <c r="CC58" s="380" t="s">
        <v>13</v>
      </c>
      <c r="CD58" s="381"/>
      <c r="CE58" s="382"/>
      <c r="CF58" s="383"/>
      <c r="CG58" s="384" t="s">
        <v>14</v>
      </c>
      <c r="CH58" s="381"/>
      <c r="CI58" s="385"/>
      <c r="CJ58" s="386"/>
      <c r="CK58" s="387"/>
      <c r="CL58" s="387"/>
      <c r="CM58" s="387"/>
      <c r="CN58" s="387"/>
      <c r="CO58" s="387"/>
      <c r="CP58" s="387"/>
      <c r="CQ58" s="387"/>
      <c r="CR58" s="387"/>
      <c r="CS58" s="387"/>
      <c r="CT58" s="387"/>
      <c r="CU58" s="387"/>
      <c r="CV58" s="387"/>
      <c r="CW58" s="370"/>
      <c r="CX58" s="371"/>
      <c r="CY58" s="364"/>
      <c r="CZ58" s="380" t="s">
        <v>13</v>
      </c>
      <c r="DA58" s="381"/>
      <c r="DB58" s="382"/>
      <c r="DC58" s="383"/>
      <c r="DD58" s="384" t="s">
        <v>14</v>
      </c>
      <c r="DE58" s="381"/>
      <c r="DF58" s="385"/>
      <c r="DG58" s="386"/>
      <c r="DH58" s="387"/>
      <c r="DI58" s="387"/>
      <c r="DJ58" s="387"/>
      <c r="DK58" s="387"/>
      <c r="DL58" s="387"/>
      <c r="DM58" s="387"/>
      <c r="DN58" s="387"/>
      <c r="DO58" s="387"/>
      <c r="DP58" s="387"/>
      <c r="DQ58" s="387"/>
      <c r="DR58" s="387"/>
      <c r="DS58" s="387"/>
      <c r="DT58" s="370"/>
      <c r="DU58" s="371"/>
    </row>
    <row r="59" spans="1:125" s="22" customFormat="1">
      <c r="A59" s="21"/>
      <c r="B59" s="21"/>
      <c r="C59" s="38"/>
      <c r="D59" s="19"/>
      <c r="E59" s="64" t="s">
        <v>21</v>
      </c>
      <c r="F59" s="26">
        <v>0.9</v>
      </c>
      <c r="I59" s="21"/>
      <c r="J59" s="21"/>
      <c r="K59" s="21"/>
      <c r="AK59" s="182"/>
      <c r="AL59" s="182"/>
      <c r="AM59" s="182"/>
      <c r="AN59" s="182"/>
      <c r="AT59" s="196"/>
      <c r="AU59" s="196"/>
      <c r="AX59" s="364"/>
      <c r="AY59" s="388" t="s">
        <v>15</v>
      </c>
      <c r="AZ59" s="389"/>
      <c r="BA59" s="390">
        <v>0.8</v>
      </c>
      <c r="BB59" s="391"/>
      <c r="BC59" s="392" t="s">
        <v>16</v>
      </c>
      <c r="BD59" s="393"/>
      <c r="BE59" s="390">
        <v>1.4</v>
      </c>
      <c r="BF59" s="386"/>
      <c r="BG59" s="387"/>
      <c r="BH59" s="387"/>
      <c r="BI59" s="387"/>
      <c r="BJ59" s="387"/>
      <c r="BK59" s="387"/>
      <c r="BL59" s="387"/>
      <c r="BM59" s="387"/>
      <c r="BN59" s="387"/>
      <c r="BO59" s="387"/>
      <c r="BP59" s="387"/>
      <c r="BQ59" s="387"/>
      <c r="BR59" s="387"/>
      <c r="BS59" s="370"/>
      <c r="BT59" s="370"/>
      <c r="BU59" s="370"/>
      <c r="BV59" s="370"/>
      <c r="BW59" s="371"/>
      <c r="BX59" s="371"/>
      <c r="BY59" s="371"/>
      <c r="BZ59" s="371"/>
      <c r="CA59" s="364"/>
      <c r="CB59" s="364"/>
      <c r="CC59" s="388" t="s">
        <v>15</v>
      </c>
      <c r="CD59" s="389"/>
      <c r="CE59" s="390">
        <v>0.8</v>
      </c>
      <c r="CF59" s="391"/>
      <c r="CG59" s="392" t="s">
        <v>16</v>
      </c>
      <c r="CH59" s="393"/>
      <c r="CI59" s="390">
        <v>1.4</v>
      </c>
      <c r="CJ59" s="386"/>
      <c r="CK59" s="387"/>
      <c r="CL59" s="387"/>
      <c r="CM59" s="387"/>
      <c r="CN59" s="387"/>
      <c r="CO59" s="387"/>
      <c r="CP59" s="387"/>
      <c r="CQ59" s="387"/>
      <c r="CR59" s="387"/>
      <c r="CS59" s="387"/>
      <c r="CT59" s="387"/>
      <c r="CU59" s="387"/>
      <c r="CV59" s="387"/>
      <c r="CW59" s="370"/>
      <c r="CX59" s="371"/>
      <c r="CY59" s="364"/>
      <c r="CZ59" s="388" t="s">
        <v>15</v>
      </c>
      <c r="DA59" s="389"/>
      <c r="DB59" s="390">
        <v>0.8</v>
      </c>
      <c r="DC59" s="391"/>
      <c r="DD59" s="392" t="s">
        <v>16</v>
      </c>
      <c r="DE59" s="393"/>
      <c r="DF59" s="390">
        <v>1.4</v>
      </c>
      <c r="DG59" s="386"/>
      <c r="DH59" s="387"/>
      <c r="DI59" s="387"/>
      <c r="DJ59" s="387"/>
      <c r="DK59" s="387"/>
      <c r="DL59" s="387"/>
      <c r="DM59" s="387"/>
      <c r="DN59" s="387"/>
      <c r="DO59" s="387"/>
      <c r="DP59" s="387"/>
      <c r="DQ59" s="387"/>
      <c r="DR59" s="387"/>
      <c r="DS59" s="387"/>
      <c r="DT59" s="370"/>
      <c r="DU59" s="371"/>
    </row>
    <row r="60" spans="1:125" s="22" customFormat="1">
      <c r="A60" s="527" t="s">
        <v>22</v>
      </c>
      <c r="B60" s="527"/>
      <c r="C60" s="38"/>
      <c r="D60" s="19"/>
      <c r="E60" s="16"/>
      <c r="F60" s="19"/>
      <c r="G60" s="16"/>
      <c r="H60" s="16"/>
      <c r="I60" s="16"/>
      <c r="J60" s="21"/>
      <c r="K60" s="21"/>
      <c r="AK60" s="182"/>
      <c r="AL60" s="182"/>
      <c r="AM60" s="182"/>
      <c r="AN60" s="182"/>
      <c r="AT60" s="196"/>
      <c r="AU60" s="196"/>
      <c r="AX60" s="364"/>
      <c r="AY60" s="394" t="s">
        <v>17</v>
      </c>
      <c r="AZ60" s="383"/>
      <c r="BA60" s="395">
        <v>1</v>
      </c>
      <c r="BB60" s="383"/>
      <c r="BC60" s="396" t="s">
        <v>18</v>
      </c>
      <c r="BD60" s="397"/>
      <c r="BE60" s="395">
        <v>1.2</v>
      </c>
      <c r="BF60" s="386"/>
      <c r="BG60" s="387"/>
      <c r="BH60" s="387"/>
      <c r="BI60" s="387"/>
      <c r="BJ60" s="387"/>
      <c r="BK60" s="387"/>
      <c r="BL60" s="387"/>
      <c r="BM60" s="387"/>
      <c r="BN60" s="387"/>
      <c r="BO60" s="387"/>
      <c r="BP60" s="387"/>
      <c r="BQ60" s="387"/>
      <c r="BR60" s="387"/>
      <c r="BS60" s="370"/>
      <c r="BT60" s="370"/>
      <c r="BU60" s="370"/>
      <c r="BV60" s="370"/>
      <c r="BW60" s="371"/>
      <c r="BX60" s="371"/>
      <c r="BY60" s="371"/>
      <c r="BZ60" s="371"/>
      <c r="CA60" s="364"/>
      <c r="CB60" s="364"/>
      <c r="CC60" s="394" t="s">
        <v>17</v>
      </c>
      <c r="CD60" s="383"/>
      <c r="CE60" s="395">
        <v>1</v>
      </c>
      <c r="CF60" s="383"/>
      <c r="CG60" s="396" t="s">
        <v>18</v>
      </c>
      <c r="CH60" s="397"/>
      <c r="CI60" s="395">
        <v>1.2</v>
      </c>
      <c r="CJ60" s="386"/>
      <c r="CK60" s="387"/>
      <c r="CL60" s="387"/>
      <c r="CM60" s="387"/>
      <c r="CN60" s="387"/>
      <c r="CO60" s="387"/>
      <c r="CP60" s="387"/>
      <c r="CQ60" s="387"/>
      <c r="CR60" s="387"/>
      <c r="CS60" s="387"/>
      <c r="CT60" s="387"/>
      <c r="CU60" s="387"/>
      <c r="CV60" s="387"/>
      <c r="CW60" s="370"/>
      <c r="CX60" s="371"/>
      <c r="CY60" s="364"/>
      <c r="CZ60" s="394" t="s">
        <v>17</v>
      </c>
      <c r="DA60" s="383"/>
      <c r="DB60" s="395">
        <v>1</v>
      </c>
      <c r="DC60" s="383"/>
      <c r="DD60" s="396" t="s">
        <v>18</v>
      </c>
      <c r="DE60" s="397"/>
      <c r="DF60" s="395">
        <v>1.2</v>
      </c>
      <c r="DG60" s="386"/>
      <c r="DH60" s="387"/>
      <c r="DI60" s="387"/>
      <c r="DJ60" s="387"/>
      <c r="DK60" s="387"/>
      <c r="DL60" s="387"/>
      <c r="DM60" s="387"/>
      <c r="DN60" s="387"/>
      <c r="DO60" s="387"/>
      <c r="DP60" s="387"/>
      <c r="DQ60" s="387"/>
      <c r="DR60" s="387"/>
      <c r="DS60" s="387"/>
      <c r="DT60" s="370"/>
      <c r="DU60" s="371"/>
    </row>
    <row r="61" spans="1:125" s="22" customFormat="1">
      <c r="A61" s="65" t="s">
        <v>23</v>
      </c>
      <c r="B61" s="39">
        <f>IF(Premium!$C$7="FL",CE64,BA64)</f>
        <v>1</v>
      </c>
      <c r="C61" s="19"/>
      <c r="D61" s="16"/>
      <c r="E61" s="19"/>
      <c r="F61" s="16"/>
      <c r="G61" s="16"/>
      <c r="H61" s="16"/>
      <c r="I61" s="21"/>
      <c r="J61" s="21"/>
      <c r="K61" s="21"/>
      <c r="AK61" s="182"/>
      <c r="AL61" s="182"/>
      <c r="AM61" s="182"/>
      <c r="AN61" s="182"/>
      <c r="AT61" s="196"/>
      <c r="AU61" s="196"/>
      <c r="AX61" s="364"/>
      <c r="AY61" s="398" t="s">
        <v>19</v>
      </c>
      <c r="AZ61" s="399"/>
      <c r="BA61" s="400">
        <v>1.25</v>
      </c>
      <c r="BB61" s="383"/>
      <c r="BC61" s="396" t="s">
        <v>20</v>
      </c>
      <c r="BD61" s="397"/>
      <c r="BE61" s="395">
        <v>1</v>
      </c>
      <c r="BF61" s="386"/>
      <c r="BG61" s="387"/>
      <c r="BH61" s="387"/>
      <c r="BI61" s="387"/>
      <c r="BJ61" s="387"/>
      <c r="BK61" s="387"/>
      <c r="BL61" s="387"/>
      <c r="BM61" s="387"/>
      <c r="BN61" s="387"/>
      <c r="BO61" s="387"/>
      <c r="BP61" s="387"/>
      <c r="BQ61" s="387"/>
      <c r="BR61" s="387"/>
      <c r="BS61" s="370"/>
      <c r="BT61" s="370"/>
      <c r="BU61" s="370"/>
      <c r="BV61" s="370"/>
      <c r="BW61" s="371"/>
      <c r="BX61" s="371"/>
      <c r="BY61" s="371"/>
      <c r="BZ61" s="371"/>
      <c r="CA61" s="364"/>
      <c r="CB61" s="364"/>
      <c r="CC61" s="398" t="s">
        <v>19</v>
      </c>
      <c r="CD61" s="399"/>
      <c r="CE61" s="400">
        <v>1.25</v>
      </c>
      <c r="CF61" s="383"/>
      <c r="CG61" s="396" t="s">
        <v>20</v>
      </c>
      <c r="CH61" s="397"/>
      <c r="CI61" s="395">
        <v>1</v>
      </c>
      <c r="CJ61" s="386"/>
      <c r="CK61" s="387"/>
      <c r="CL61" s="387"/>
      <c r="CM61" s="387"/>
      <c r="CN61" s="387"/>
      <c r="CO61" s="387"/>
      <c r="CP61" s="387"/>
      <c r="CQ61" s="387"/>
      <c r="CR61" s="387"/>
      <c r="CS61" s="387"/>
      <c r="CT61" s="387"/>
      <c r="CU61" s="387"/>
      <c r="CV61" s="387"/>
      <c r="CW61" s="370"/>
      <c r="CX61" s="371"/>
      <c r="CY61" s="364"/>
      <c r="CZ61" s="398" t="s">
        <v>19</v>
      </c>
      <c r="DA61" s="399"/>
      <c r="DB61" s="400">
        <v>1.25</v>
      </c>
      <c r="DC61" s="383"/>
      <c r="DD61" s="396" t="s">
        <v>20</v>
      </c>
      <c r="DE61" s="397"/>
      <c r="DF61" s="395">
        <v>1</v>
      </c>
      <c r="DG61" s="386"/>
      <c r="DH61" s="387"/>
      <c r="DI61" s="387"/>
      <c r="DJ61" s="387"/>
      <c r="DK61" s="387"/>
      <c r="DL61" s="387"/>
      <c r="DM61" s="387"/>
      <c r="DN61" s="387"/>
      <c r="DO61" s="387"/>
      <c r="DP61" s="387"/>
      <c r="DQ61" s="387"/>
      <c r="DR61" s="387"/>
      <c r="DS61" s="387"/>
      <c r="DT61" s="370"/>
      <c r="DU61" s="371"/>
    </row>
    <row r="62" spans="1:125" s="22" customFormat="1">
      <c r="A62" s="65" t="s">
        <v>24</v>
      </c>
      <c r="B62" s="39">
        <f>IF(Premium!$C$7="FL",CE65,BA65)</f>
        <v>0.52</v>
      </c>
      <c r="C62" s="19"/>
      <c r="D62" s="16"/>
      <c r="E62" s="19"/>
      <c r="F62" s="16"/>
      <c r="G62" s="16"/>
      <c r="H62" s="16"/>
      <c r="I62" s="21"/>
      <c r="J62" s="21"/>
      <c r="K62" s="21"/>
      <c r="R62" s="22" t="s">
        <v>101</v>
      </c>
      <c r="S62" s="480" t="s">
        <v>387</v>
      </c>
      <c r="AK62" s="182"/>
      <c r="AL62" s="182"/>
      <c r="AM62" s="182"/>
      <c r="AN62" s="182"/>
      <c r="AT62" s="196"/>
      <c r="AU62" s="196"/>
      <c r="AX62" s="364"/>
      <c r="AY62" s="401"/>
      <c r="AZ62" s="402"/>
      <c r="BA62" s="403"/>
      <c r="BB62" s="383"/>
      <c r="BC62" s="404" t="s">
        <v>21</v>
      </c>
      <c r="BD62" s="405"/>
      <c r="BE62" s="400">
        <v>0.9</v>
      </c>
      <c r="BF62" s="386"/>
      <c r="BG62" s="387"/>
      <c r="BH62" s="387"/>
      <c r="BI62" s="387"/>
      <c r="BJ62" s="387"/>
      <c r="BK62" s="387"/>
      <c r="BL62" s="387"/>
      <c r="BM62" s="387"/>
      <c r="BN62" s="387"/>
      <c r="BO62" s="387"/>
      <c r="BP62" s="387"/>
      <c r="BQ62" s="387"/>
      <c r="BR62" s="387"/>
      <c r="BS62" s="370"/>
      <c r="BT62" s="370"/>
      <c r="BU62" s="370"/>
      <c r="BV62" s="370"/>
      <c r="BW62" s="371"/>
      <c r="BX62" s="371"/>
      <c r="BY62" s="371"/>
      <c r="BZ62" s="371"/>
      <c r="CA62" s="364"/>
      <c r="CB62" s="364"/>
      <c r="CC62" s="401"/>
      <c r="CD62" s="402"/>
      <c r="CE62" s="403"/>
      <c r="CF62" s="383"/>
      <c r="CG62" s="404" t="s">
        <v>21</v>
      </c>
      <c r="CH62" s="405"/>
      <c r="CI62" s="400">
        <v>0.9</v>
      </c>
      <c r="CJ62" s="386"/>
      <c r="CK62" s="387"/>
      <c r="CL62" s="387"/>
      <c r="CM62" s="387"/>
      <c r="CN62" s="387"/>
      <c r="CO62" s="387"/>
      <c r="CP62" s="387"/>
      <c r="CQ62" s="387"/>
      <c r="CR62" s="387"/>
      <c r="CS62" s="387"/>
      <c r="CT62" s="387"/>
      <c r="CU62" s="387"/>
      <c r="CV62" s="387"/>
      <c r="CW62" s="370"/>
      <c r="CX62" s="371"/>
      <c r="CY62" s="364"/>
      <c r="CZ62" s="401"/>
      <c r="DA62" s="402"/>
      <c r="DB62" s="403"/>
      <c r="DC62" s="383"/>
      <c r="DD62" s="404" t="s">
        <v>21</v>
      </c>
      <c r="DE62" s="405"/>
      <c r="DF62" s="400">
        <v>0.9</v>
      </c>
      <c r="DG62" s="386"/>
      <c r="DH62" s="387"/>
      <c r="DI62" s="387"/>
      <c r="DJ62" s="387"/>
      <c r="DK62" s="387"/>
      <c r="DL62" s="387"/>
      <c r="DM62" s="387"/>
      <c r="DN62" s="387"/>
      <c r="DO62" s="387"/>
      <c r="DP62" s="387"/>
      <c r="DQ62" s="387"/>
      <c r="DR62" s="387"/>
      <c r="DS62" s="387"/>
      <c r="DT62" s="370"/>
      <c r="DU62" s="371"/>
    </row>
    <row r="63" spans="1:125" s="22" customFormat="1">
      <c r="A63" s="65" t="s">
        <v>25</v>
      </c>
      <c r="B63" s="39">
        <f>IF(Premium!$C$7="FL",CE66,BA66)</f>
        <v>0.27</v>
      </c>
      <c r="C63" s="19"/>
      <c r="D63" s="16"/>
      <c r="E63" s="19"/>
      <c r="F63" s="16"/>
      <c r="G63" s="16"/>
      <c r="H63" s="16"/>
      <c r="I63" s="21"/>
      <c r="J63" s="21"/>
      <c r="K63" s="21"/>
      <c r="R63" s="480" t="s">
        <v>388</v>
      </c>
      <c r="S63" s="480">
        <v>8.7499999999999994E-2</v>
      </c>
      <c r="AK63" s="182"/>
      <c r="AL63" s="182"/>
      <c r="AM63" s="182"/>
      <c r="AN63" s="182"/>
      <c r="AT63" s="196"/>
      <c r="AU63" s="196"/>
      <c r="AX63" s="364"/>
      <c r="AY63" s="406" t="s">
        <v>22</v>
      </c>
      <c r="AZ63" s="407"/>
      <c r="BA63" s="408"/>
      <c r="BB63" s="383"/>
      <c r="BC63" s="369"/>
      <c r="BD63" s="383"/>
      <c r="BE63" s="369"/>
      <c r="BF63" s="409"/>
      <c r="BG63" s="387"/>
      <c r="BH63" s="387"/>
      <c r="BI63" s="387"/>
      <c r="BJ63" s="387"/>
      <c r="BK63" s="387"/>
      <c r="BL63" s="387"/>
      <c r="BM63" s="387"/>
      <c r="BN63" s="387"/>
      <c r="BO63" s="387"/>
      <c r="BP63" s="387"/>
      <c r="BQ63" s="387"/>
      <c r="BR63" s="387"/>
      <c r="BS63" s="370"/>
      <c r="BT63" s="370"/>
      <c r="BU63" s="370"/>
      <c r="BV63" s="370"/>
      <c r="BW63" s="371"/>
      <c r="BX63" s="371"/>
      <c r="BY63" s="371"/>
      <c r="BZ63" s="371"/>
      <c r="CA63" s="364"/>
      <c r="CB63" s="364"/>
      <c r="CC63" s="406" t="s">
        <v>22</v>
      </c>
      <c r="CD63" s="407"/>
      <c r="CE63" s="408"/>
      <c r="CF63" s="383"/>
      <c r="CG63" s="369"/>
      <c r="CH63" s="383"/>
      <c r="CI63" s="369"/>
      <c r="CJ63" s="409"/>
      <c r="CK63" s="387"/>
      <c r="CL63" s="387"/>
      <c r="CM63" s="387"/>
      <c r="CN63" s="387"/>
      <c r="CO63" s="387"/>
      <c r="CP63" s="387"/>
      <c r="CQ63" s="387"/>
      <c r="CR63" s="387"/>
      <c r="CS63" s="387"/>
      <c r="CT63" s="387"/>
      <c r="CU63" s="387"/>
      <c r="CV63" s="387"/>
      <c r="CW63" s="370"/>
      <c r="CX63" s="371"/>
      <c r="CY63" s="364"/>
      <c r="CZ63" s="406" t="s">
        <v>22</v>
      </c>
      <c r="DA63" s="407"/>
      <c r="DB63" s="408"/>
      <c r="DC63" s="383"/>
      <c r="DD63" s="369"/>
      <c r="DE63" s="383"/>
      <c r="DF63" s="369"/>
      <c r="DG63" s="409"/>
      <c r="DH63" s="387"/>
      <c r="DI63" s="387"/>
      <c r="DJ63" s="387"/>
      <c r="DK63" s="387"/>
      <c r="DL63" s="387"/>
      <c r="DM63" s="387"/>
      <c r="DN63" s="387"/>
      <c r="DO63" s="387"/>
      <c r="DP63" s="387"/>
      <c r="DQ63" s="387"/>
      <c r="DR63" s="387"/>
      <c r="DS63" s="387"/>
      <c r="DT63" s="370"/>
      <c r="DU63" s="371"/>
    </row>
    <row r="64" spans="1:125" s="22" customFormat="1">
      <c r="A64" s="41" t="s">
        <v>26</v>
      </c>
      <c r="B64" s="481">
        <f>VLOOKUP(Premium!$C$7,Table3[#All],2,0)</f>
        <v>8.7499999999999994E-2</v>
      </c>
      <c r="C64" s="19"/>
      <c r="D64" s="16"/>
      <c r="E64" s="19"/>
      <c r="F64" s="16"/>
      <c r="G64" s="16"/>
      <c r="H64" s="16"/>
      <c r="I64" s="21"/>
      <c r="J64" s="21"/>
      <c r="K64" s="21"/>
      <c r="R64" s="480" t="s">
        <v>389</v>
      </c>
      <c r="S64" s="480">
        <v>8.7499999999999994E-2</v>
      </c>
      <c r="AK64" s="182"/>
      <c r="AL64" s="182"/>
      <c r="AM64" s="182"/>
      <c r="AN64" s="182"/>
      <c r="AT64" s="196"/>
      <c r="AU64" s="196"/>
      <c r="AX64" s="364"/>
      <c r="AY64" s="410" t="s">
        <v>23</v>
      </c>
      <c r="AZ64" s="411"/>
      <c r="BA64" s="412">
        <v>1</v>
      </c>
      <c r="BB64" s="383"/>
      <c r="BC64" s="369"/>
      <c r="BD64" s="383"/>
      <c r="BE64" s="369"/>
      <c r="BF64" s="409"/>
      <c r="BG64" s="387"/>
      <c r="BH64" s="387"/>
      <c r="BI64" s="387"/>
      <c r="BJ64" s="387"/>
      <c r="BK64" s="387"/>
      <c r="BL64" s="387"/>
      <c r="BM64" s="387"/>
      <c r="BN64" s="387"/>
      <c r="BO64" s="387"/>
      <c r="BP64" s="387"/>
      <c r="BQ64" s="387"/>
      <c r="BR64" s="387"/>
      <c r="BS64" s="370"/>
      <c r="BT64" s="370"/>
      <c r="BU64" s="370"/>
      <c r="BV64" s="370"/>
      <c r="BW64" s="371"/>
      <c r="BX64" s="371"/>
      <c r="BY64" s="371"/>
      <c r="BZ64" s="371"/>
      <c r="CA64" s="364"/>
      <c r="CB64" s="364"/>
      <c r="CC64" s="410" t="s">
        <v>23</v>
      </c>
      <c r="CD64" s="411"/>
      <c r="CE64" s="412">
        <v>1</v>
      </c>
      <c r="CF64" s="383"/>
      <c r="CG64" s="369"/>
      <c r="CH64" s="383"/>
      <c r="CI64" s="369"/>
      <c r="CJ64" s="409"/>
      <c r="CK64" s="387"/>
      <c r="CL64" s="387"/>
      <c r="CM64" s="387"/>
      <c r="CN64" s="387"/>
      <c r="CO64" s="387"/>
      <c r="CP64" s="387"/>
      <c r="CQ64" s="387"/>
      <c r="CR64" s="387"/>
      <c r="CS64" s="387"/>
      <c r="CT64" s="387"/>
      <c r="CU64" s="387"/>
      <c r="CV64" s="387"/>
      <c r="CW64" s="370"/>
      <c r="CX64" s="371"/>
      <c r="CY64" s="364"/>
      <c r="CZ64" s="410" t="s">
        <v>23</v>
      </c>
      <c r="DA64" s="411"/>
      <c r="DB64" s="412">
        <v>1</v>
      </c>
      <c r="DC64" s="383"/>
      <c r="DD64" s="369"/>
      <c r="DE64" s="383"/>
      <c r="DF64" s="369"/>
      <c r="DG64" s="409"/>
      <c r="DH64" s="387"/>
      <c r="DI64" s="387"/>
      <c r="DJ64" s="387"/>
      <c r="DK64" s="387"/>
      <c r="DL64" s="387"/>
      <c r="DM64" s="387"/>
      <c r="DN64" s="387"/>
      <c r="DO64" s="387"/>
      <c r="DP64" s="387"/>
      <c r="DQ64" s="387"/>
      <c r="DR64" s="387"/>
      <c r="DS64" s="387"/>
      <c r="DT64" s="370"/>
      <c r="DU64" s="371"/>
    </row>
    <row r="65" spans="1:125" s="22" customFormat="1">
      <c r="A65" s="41"/>
      <c r="B65" s="39"/>
      <c r="C65" s="19"/>
      <c r="D65" s="16"/>
      <c r="E65" s="19"/>
      <c r="F65" s="16"/>
      <c r="G65" s="16"/>
      <c r="H65" s="16"/>
      <c r="I65" s="21"/>
      <c r="J65" s="21"/>
      <c r="K65" s="21"/>
      <c r="R65" s="480" t="s">
        <v>390</v>
      </c>
      <c r="S65" s="480">
        <v>8.7499999999999994E-2</v>
      </c>
      <c r="AK65" s="182"/>
      <c r="AL65" s="182"/>
      <c r="AM65" s="182"/>
      <c r="AN65" s="182"/>
      <c r="AT65" s="196"/>
      <c r="AU65" s="196"/>
      <c r="AX65" s="364"/>
      <c r="AY65" s="410" t="s">
        <v>24</v>
      </c>
      <c r="AZ65" s="411"/>
      <c r="BA65" s="412">
        <v>0.52</v>
      </c>
      <c r="BB65" s="383"/>
      <c r="BC65" s="369"/>
      <c r="BD65" s="383"/>
      <c r="BE65" s="369"/>
      <c r="BF65" s="409"/>
      <c r="BG65" s="387"/>
      <c r="BH65" s="387"/>
      <c r="BI65" s="387"/>
      <c r="BJ65" s="387"/>
      <c r="BK65" s="387"/>
      <c r="BL65" s="387"/>
      <c r="BM65" s="387"/>
      <c r="BN65" s="387"/>
      <c r="BO65" s="387"/>
      <c r="BP65" s="387"/>
      <c r="BQ65" s="371"/>
      <c r="BR65" s="371"/>
      <c r="BS65" s="413"/>
      <c r="BT65" s="370"/>
      <c r="BU65" s="370"/>
      <c r="BV65" s="370"/>
      <c r="BW65" s="371"/>
      <c r="BX65" s="371"/>
      <c r="BY65" s="371"/>
      <c r="BZ65" s="371"/>
      <c r="CA65" s="364"/>
      <c r="CB65" s="364"/>
      <c r="CC65" s="410" t="s">
        <v>24</v>
      </c>
      <c r="CD65" s="411"/>
      <c r="CE65" s="412">
        <v>0.52</v>
      </c>
      <c r="CF65" s="383"/>
      <c r="CG65" s="369"/>
      <c r="CH65" s="383"/>
      <c r="CI65" s="369"/>
      <c r="CJ65" s="409"/>
      <c r="CK65" s="387"/>
      <c r="CL65" s="387"/>
      <c r="CM65" s="387"/>
      <c r="CN65" s="387"/>
      <c r="CO65" s="387"/>
      <c r="CP65" s="387"/>
      <c r="CQ65" s="387"/>
      <c r="CR65" s="387"/>
      <c r="CS65" s="387"/>
      <c r="CT65" s="387"/>
      <c r="CU65" s="371"/>
      <c r="CV65" s="371"/>
      <c r="CW65" s="413"/>
      <c r="CX65" s="371"/>
      <c r="CY65" s="364"/>
      <c r="CZ65" s="410" t="s">
        <v>24</v>
      </c>
      <c r="DA65" s="411"/>
      <c r="DB65" s="412">
        <v>0.52</v>
      </c>
      <c r="DC65" s="383"/>
      <c r="DD65" s="369"/>
      <c r="DE65" s="383"/>
      <c r="DF65" s="369"/>
      <c r="DG65" s="409"/>
      <c r="DH65" s="387"/>
      <c r="DI65" s="387"/>
      <c r="DJ65" s="387"/>
      <c r="DK65" s="387"/>
      <c r="DL65" s="387"/>
      <c r="DM65" s="387"/>
      <c r="DN65" s="387"/>
      <c r="DO65" s="387"/>
      <c r="DP65" s="387"/>
      <c r="DQ65" s="387"/>
      <c r="DR65" s="371"/>
      <c r="DS65" s="371"/>
      <c r="DT65" s="413"/>
      <c r="DU65" s="371"/>
    </row>
    <row r="66" spans="1:125" s="22" customFormat="1">
      <c r="A66" s="41"/>
      <c r="B66" s="39"/>
      <c r="C66" s="19"/>
      <c r="D66" s="16"/>
      <c r="E66" s="19"/>
      <c r="F66" s="16"/>
      <c r="G66" s="16"/>
      <c r="H66" s="16"/>
      <c r="I66" s="21"/>
      <c r="J66" s="21"/>
      <c r="K66" s="21"/>
      <c r="R66" s="480" t="s">
        <v>391</v>
      </c>
      <c r="S66" s="480">
        <v>9.5000000000000001E-2</v>
      </c>
      <c r="AK66" s="182"/>
      <c r="AL66" s="182"/>
      <c r="AM66" s="182"/>
      <c r="AN66" s="182"/>
      <c r="AT66" s="196"/>
      <c r="AU66" s="196"/>
      <c r="AX66" s="364"/>
      <c r="AY66" s="410" t="s">
        <v>25</v>
      </c>
      <c r="AZ66" s="411"/>
      <c r="BA66" s="412">
        <v>0.27</v>
      </c>
      <c r="BB66" s="383"/>
      <c r="BC66" s="369"/>
      <c r="BD66" s="383"/>
      <c r="BE66" s="369"/>
      <c r="BF66" s="409"/>
      <c r="BG66" s="387"/>
      <c r="BH66" s="387"/>
      <c r="BI66" s="387"/>
      <c r="BJ66" s="387"/>
      <c r="BK66" s="387"/>
      <c r="BL66" s="387"/>
      <c r="BM66" s="387"/>
      <c r="BN66" s="387"/>
      <c r="BO66" s="387"/>
      <c r="BP66" s="387"/>
      <c r="BQ66" s="371"/>
      <c r="BR66" s="371"/>
      <c r="BS66" s="413"/>
      <c r="BT66" s="370"/>
      <c r="BU66" s="370"/>
      <c r="BV66" s="370"/>
      <c r="BW66" s="371"/>
      <c r="BX66" s="371"/>
      <c r="BY66" s="371"/>
      <c r="BZ66" s="371"/>
      <c r="CA66" s="364"/>
      <c r="CB66" s="364"/>
      <c r="CC66" s="410" t="s">
        <v>25</v>
      </c>
      <c r="CD66" s="411"/>
      <c r="CE66" s="412">
        <v>0.27</v>
      </c>
      <c r="CF66" s="383"/>
      <c r="CG66" s="369"/>
      <c r="CH66" s="383"/>
      <c r="CI66" s="369"/>
      <c r="CJ66" s="409"/>
      <c r="CK66" s="387"/>
      <c r="CL66" s="387"/>
      <c r="CM66" s="387"/>
      <c r="CN66" s="387"/>
      <c r="CO66" s="387"/>
      <c r="CP66" s="387"/>
      <c r="CQ66" s="387"/>
      <c r="CR66" s="387"/>
      <c r="CS66" s="387"/>
      <c r="CT66" s="387"/>
      <c r="CU66" s="371"/>
      <c r="CV66" s="371"/>
      <c r="CW66" s="413"/>
      <c r="CX66" s="371"/>
      <c r="CY66" s="364"/>
      <c r="CZ66" s="410" t="s">
        <v>25</v>
      </c>
      <c r="DA66" s="411"/>
      <c r="DB66" s="412">
        <v>0.27</v>
      </c>
      <c r="DC66" s="383"/>
      <c r="DD66" s="369"/>
      <c r="DE66" s="383"/>
      <c r="DF66" s="369"/>
      <c r="DG66" s="409"/>
      <c r="DH66" s="387"/>
      <c r="DI66" s="387"/>
      <c r="DJ66" s="387"/>
      <c r="DK66" s="387"/>
      <c r="DL66" s="387"/>
      <c r="DM66" s="387"/>
      <c r="DN66" s="387"/>
      <c r="DO66" s="387"/>
      <c r="DP66" s="387"/>
      <c r="DQ66" s="387"/>
      <c r="DR66" s="371"/>
      <c r="DS66" s="371"/>
      <c r="DT66" s="413"/>
      <c r="DU66" s="371"/>
    </row>
    <row r="67" spans="1:125" s="22" customFormat="1" ht="19.5" thickBot="1">
      <c r="A67" s="46" t="s">
        <v>27</v>
      </c>
      <c r="B67" s="34"/>
      <c r="C67" s="34"/>
      <c r="D67" s="33"/>
      <c r="E67" s="34"/>
      <c r="F67" s="33"/>
      <c r="G67" s="34"/>
      <c r="H67" s="34"/>
      <c r="I67" s="33"/>
      <c r="J67" s="21"/>
      <c r="K67" s="21"/>
      <c r="R67" s="480" t="s">
        <v>392</v>
      </c>
      <c r="S67" s="480">
        <v>8.7499999999999994E-2</v>
      </c>
      <c r="AK67" s="182"/>
      <c r="AL67" s="182"/>
      <c r="AM67" s="182"/>
      <c r="AN67" s="182"/>
      <c r="AT67" s="196"/>
      <c r="AU67" s="196"/>
      <c r="AX67" s="364"/>
      <c r="AY67" s="414" t="s">
        <v>26</v>
      </c>
      <c r="AZ67" s="415"/>
      <c r="BA67" s="416">
        <v>9.5000000000000001E-2</v>
      </c>
      <c r="BB67" s="417"/>
      <c r="BC67" s="418"/>
      <c r="BD67" s="417"/>
      <c r="BE67" s="418"/>
      <c r="BF67" s="419"/>
      <c r="BG67" s="387"/>
      <c r="BH67" s="387"/>
      <c r="BI67" s="387"/>
      <c r="BJ67" s="387"/>
      <c r="BK67" s="387"/>
      <c r="BL67" s="387"/>
      <c r="BM67" s="387"/>
      <c r="BN67" s="387"/>
      <c r="BO67" s="387"/>
      <c r="BP67" s="387"/>
      <c r="BQ67" s="371"/>
      <c r="BR67" s="371"/>
      <c r="BS67" s="413"/>
      <c r="BT67" s="370"/>
      <c r="BU67" s="370"/>
      <c r="BV67" s="370"/>
      <c r="BW67" s="371"/>
      <c r="BX67" s="371"/>
      <c r="BY67" s="371"/>
      <c r="BZ67" s="371"/>
      <c r="CA67" s="364"/>
      <c r="CB67" s="364"/>
      <c r="CC67" s="414" t="s">
        <v>26</v>
      </c>
      <c r="CD67" s="415"/>
      <c r="CE67" s="420">
        <v>8.7499999999999994E-2</v>
      </c>
      <c r="CF67" s="417"/>
      <c r="CG67" s="418"/>
      <c r="CH67" s="417"/>
      <c r="CI67" s="418"/>
      <c r="CJ67" s="419"/>
      <c r="CK67" s="387"/>
      <c r="CL67" s="387"/>
      <c r="CM67" s="387"/>
      <c r="CN67" s="387"/>
      <c r="CO67" s="387"/>
      <c r="CP67" s="387"/>
      <c r="CQ67" s="387"/>
      <c r="CR67" s="387"/>
      <c r="CS67" s="387"/>
      <c r="CT67" s="387"/>
      <c r="CU67" s="371"/>
      <c r="CV67" s="371"/>
      <c r="CW67" s="413"/>
      <c r="CX67" s="371"/>
      <c r="CY67" s="364"/>
      <c r="CZ67" s="414" t="s">
        <v>26</v>
      </c>
      <c r="DA67" s="415"/>
      <c r="DB67" s="420">
        <v>8.7499999999999994E-2</v>
      </c>
      <c r="DC67" s="417"/>
      <c r="DD67" s="418"/>
      <c r="DE67" s="417"/>
      <c r="DF67" s="418"/>
      <c r="DG67" s="419"/>
      <c r="DH67" s="387"/>
      <c r="DI67" s="387"/>
      <c r="DJ67" s="387"/>
      <c r="DK67" s="387"/>
      <c r="DL67" s="387"/>
      <c r="DM67" s="387"/>
      <c r="DN67" s="387"/>
      <c r="DO67" s="387"/>
      <c r="DP67" s="387"/>
      <c r="DQ67" s="387"/>
      <c r="DR67" s="371"/>
      <c r="DS67" s="371"/>
      <c r="DT67" s="413"/>
      <c r="DU67" s="371"/>
    </row>
    <row r="68" spans="1:125" s="22" customFormat="1" ht="18.75">
      <c r="A68" s="126"/>
      <c r="B68" s="127"/>
      <c r="C68" s="127"/>
      <c r="D68" s="128"/>
      <c r="E68" s="127"/>
      <c r="F68" s="128"/>
      <c r="G68" s="127"/>
      <c r="H68" s="127"/>
      <c r="I68" s="49"/>
      <c r="J68" s="21"/>
      <c r="K68" s="21"/>
      <c r="R68" s="480" t="s">
        <v>393</v>
      </c>
      <c r="S68" s="480">
        <v>9.5000000000000001E-2</v>
      </c>
      <c r="AK68" s="182"/>
      <c r="AL68" s="182"/>
      <c r="AM68" s="182"/>
      <c r="AN68" s="182"/>
      <c r="AT68" s="196"/>
      <c r="AU68" s="196"/>
      <c r="AX68" s="364"/>
      <c r="AY68" s="421" t="s">
        <v>27</v>
      </c>
      <c r="AZ68" s="422"/>
      <c r="BA68" s="422"/>
      <c r="BB68" s="423"/>
      <c r="BC68" s="422"/>
      <c r="BD68" s="423"/>
      <c r="BE68" s="422"/>
      <c r="BF68" s="424"/>
      <c r="BG68" s="387"/>
      <c r="BH68" s="387"/>
      <c r="BI68" s="387"/>
      <c r="BJ68" s="387"/>
      <c r="BK68" s="387"/>
      <c r="BL68" s="387"/>
      <c r="BM68" s="387"/>
      <c r="BN68" s="387"/>
      <c r="BO68" s="387"/>
      <c r="BP68" s="387"/>
      <c r="BQ68" s="371"/>
      <c r="BR68" s="371"/>
      <c r="BS68" s="413"/>
      <c r="BT68" s="370"/>
      <c r="BU68" s="370"/>
      <c r="BV68" s="370"/>
      <c r="BW68" s="371"/>
      <c r="BX68" s="371"/>
      <c r="BY68" s="371"/>
      <c r="BZ68" s="371"/>
      <c r="CA68" s="364"/>
      <c r="CB68" s="364"/>
      <c r="CC68" s="421" t="s">
        <v>27</v>
      </c>
      <c r="CD68" s="422"/>
      <c r="CE68" s="422"/>
      <c r="CF68" s="423"/>
      <c r="CG68" s="422"/>
      <c r="CH68" s="423"/>
      <c r="CI68" s="422"/>
      <c r="CJ68" s="424"/>
      <c r="CK68" s="387"/>
      <c r="CL68" s="387"/>
      <c r="CM68" s="387"/>
      <c r="CN68" s="387"/>
      <c r="CO68" s="387"/>
      <c r="CP68" s="387"/>
      <c r="CQ68" s="387"/>
      <c r="CR68" s="387"/>
      <c r="CS68" s="387"/>
      <c r="CT68" s="387"/>
      <c r="CU68" s="371"/>
      <c r="CV68" s="371"/>
      <c r="CW68" s="413"/>
      <c r="CX68" s="371"/>
      <c r="CY68" s="364"/>
      <c r="CZ68" s="421" t="s">
        <v>27</v>
      </c>
      <c r="DA68" s="422"/>
      <c r="DB68" s="422"/>
      <c r="DC68" s="423"/>
      <c r="DD68" s="422"/>
      <c r="DE68" s="423"/>
      <c r="DF68" s="422"/>
      <c r="DG68" s="424"/>
      <c r="DH68" s="387"/>
      <c r="DI68" s="387"/>
      <c r="DJ68" s="387"/>
      <c r="DK68" s="387"/>
      <c r="DL68" s="387"/>
      <c r="DM68" s="387"/>
      <c r="DN68" s="387"/>
      <c r="DO68" s="387"/>
      <c r="DP68" s="387"/>
      <c r="DQ68" s="387"/>
      <c r="DR68" s="371"/>
      <c r="DS68" s="371"/>
      <c r="DT68" s="413"/>
      <c r="DU68" s="371"/>
    </row>
    <row r="69" spans="1:125" s="22" customFormat="1" ht="34.9" customHeight="1">
      <c r="A69" s="524" t="s">
        <v>49</v>
      </c>
      <c r="B69" s="524"/>
      <c r="D69" s="524" t="s">
        <v>50</v>
      </c>
      <c r="E69" s="524"/>
      <c r="G69" s="523" t="s">
        <v>51</v>
      </c>
      <c r="H69" s="523"/>
      <c r="I69" s="21"/>
      <c r="J69" s="21"/>
      <c r="K69" s="21"/>
      <c r="O69" s="12"/>
      <c r="P69" s="13"/>
      <c r="Q69" s="1"/>
      <c r="R69" s="480" t="s">
        <v>394</v>
      </c>
      <c r="S69" s="480">
        <v>9.5000000000000001E-2</v>
      </c>
      <c r="T69" s="14"/>
      <c r="X69" s="18"/>
      <c r="Y69" s="18"/>
      <c r="Z69" s="36"/>
      <c r="AA69" s="36"/>
      <c r="AB69" s="36"/>
      <c r="AC69" s="36"/>
      <c r="AD69" s="36"/>
      <c r="AE69" s="37"/>
      <c r="AF69" s="37"/>
      <c r="AG69" s="37"/>
      <c r="AH69" s="37"/>
      <c r="AI69" s="37"/>
      <c r="AJ69" s="37"/>
      <c r="AK69" s="182"/>
      <c r="AL69" s="182"/>
      <c r="AM69" s="182"/>
      <c r="AN69" s="182"/>
      <c r="AO69" s="37"/>
      <c r="AP69" s="37"/>
      <c r="AQ69" s="37"/>
      <c r="AR69" s="37"/>
      <c r="AS69" s="37"/>
      <c r="AT69" s="196"/>
      <c r="AU69" s="196"/>
      <c r="AV69" s="37"/>
      <c r="AW69" s="37"/>
      <c r="AX69" s="353"/>
      <c r="AY69" s="425"/>
      <c r="AZ69" s="426"/>
      <c r="BA69" s="426"/>
      <c r="BB69" s="427"/>
      <c r="BC69" s="426"/>
      <c r="BD69" s="427"/>
      <c r="BE69" s="426"/>
      <c r="BF69" s="428"/>
      <c r="BG69" s="377"/>
      <c r="BH69" s="377"/>
      <c r="BI69" s="377"/>
      <c r="BJ69" s="377"/>
      <c r="BK69" s="377"/>
      <c r="BL69" s="377"/>
      <c r="BM69" s="377"/>
      <c r="BN69" s="377"/>
      <c r="BO69" s="377"/>
      <c r="BP69" s="377"/>
      <c r="BQ69" s="379"/>
      <c r="BR69" s="379"/>
      <c r="BS69" s="429"/>
      <c r="BT69" s="378"/>
      <c r="BU69" s="378"/>
      <c r="BV69" s="378"/>
      <c r="BW69" s="379"/>
      <c r="BX69" s="379"/>
      <c r="BY69" s="379"/>
      <c r="BZ69" s="379"/>
      <c r="CA69" s="353"/>
      <c r="CB69" s="353"/>
      <c r="CC69" s="430"/>
      <c r="CD69" s="431"/>
      <c r="CE69" s="431"/>
      <c r="CF69" s="432"/>
      <c r="CG69" s="431"/>
      <c r="CH69" s="432"/>
      <c r="CI69" s="431"/>
      <c r="CJ69" s="433"/>
      <c r="CK69" s="377"/>
      <c r="CL69" s="377"/>
      <c r="CM69" s="377"/>
      <c r="CN69" s="377"/>
      <c r="CO69" s="377"/>
      <c r="CP69" s="377"/>
      <c r="CQ69" s="377"/>
      <c r="CR69" s="377"/>
      <c r="CS69" s="377"/>
      <c r="CT69" s="377"/>
      <c r="CU69" s="379"/>
      <c r="CV69" s="379"/>
      <c r="CW69" s="429"/>
      <c r="CX69" s="379"/>
      <c r="CY69" s="353"/>
      <c r="CZ69" s="425"/>
      <c r="DA69" s="426"/>
      <c r="DB69" s="426"/>
      <c r="DC69" s="427"/>
      <c r="DD69" s="426"/>
      <c r="DE69" s="427"/>
      <c r="DF69" s="426"/>
      <c r="DG69" s="428"/>
      <c r="DH69" s="377"/>
      <c r="DI69" s="377"/>
      <c r="DJ69" s="377"/>
      <c r="DK69" s="377"/>
      <c r="DL69" s="377"/>
      <c r="DM69" s="377"/>
      <c r="DN69" s="377"/>
      <c r="DO69" s="377"/>
      <c r="DP69" s="377"/>
      <c r="DQ69" s="377"/>
      <c r="DR69" s="379"/>
      <c r="DS69" s="379"/>
      <c r="DT69" s="429"/>
      <c r="DU69" s="379"/>
    </row>
    <row r="70" spans="1:125" s="22" customFormat="1" ht="25.5">
      <c r="A70" s="42" t="s">
        <v>28</v>
      </c>
      <c r="B70" s="26">
        <f>IF(Premium!$C$7="FL",CD71,AZ71)</f>
        <v>2</v>
      </c>
      <c r="D70" s="24" t="s">
        <v>29</v>
      </c>
      <c r="E70" s="26"/>
      <c r="G70" s="65" t="s">
        <v>18</v>
      </c>
      <c r="H70" s="27">
        <v>1.1000000000000001</v>
      </c>
      <c r="I70" s="21"/>
      <c r="J70" s="21"/>
      <c r="K70" s="24"/>
      <c r="O70" s="139" t="s">
        <v>64</v>
      </c>
      <c r="P70" s="140"/>
      <c r="Q70" s="5"/>
      <c r="R70" s="480" t="s">
        <v>395</v>
      </c>
      <c r="S70" s="480">
        <v>9.5000000000000001E-2</v>
      </c>
      <c r="T70" s="6"/>
      <c r="X70" s="21"/>
      <c r="Y70" s="21"/>
      <c r="Z70" s="35"/>
      <c r="AA70" s="35"/>
      <c r="AB70" s="35"/>
      <c r="AC70" s="35"/>
      <c r="AD70" s="35"/>
      <c r="AK70" s="182"/>
      <c r="AL70" s="182"/>
      <c r="AM70" s="182"/>
      <c r="AN70" s="182"/>
      <c r="AT70" s="196"/>
      <c r="AU70" s="196"/>
      <c r="AX70" s="364"/>
      <c r="AY70" s="434" t="s">
        <v>299</v>
      </c>
      <c r="AZ70" s="435"/>
      <c r="BA70" s="436"/>
      <c r="BB70" s="437" t="s">
        <v>300</v>
      </c>
      <c r="BC70" s="438"/>
      <c r="BD70" s="436"/>
      <c r="BE70" s="439" t="s">
        <v>301</v>
      </c>
      <c r="BF70" s="440"/>
      <c r="BG70" s="387"/>
      <c r="BH70" s="441"/>
      <c r="BI70" s="441"/>
      <c r="BJ70" s="387"/>
      <c r="BK70" s="387"/>
      <c r="BL70" s="387"/>
      <c r="BM70" s="387"/>
      <c r="BN70" s="387"/>
      <c r="BO70" s="387"/>
      <c r="BP70" s="387"/>
      <c r="BQ70" s="441"/>
      <c r="BR70" s="441"/>
      <c r="BS70" s="370"/>
      <c r="BT70" s="370"/>
      <c r="BU70" s="370"/>
      <c r="BV70" s="370"/>
      <c r="BW70" s="371"/>
      <c r="BX70" s="371"/>
      <c r="BY70" s="371"/>
      <c r="BZ70" s="371"/>
      <c r="CA70" s="364"/>
      <c r="CB70" s="364"/>
      <c r="CC70" s="434" t="s">
        <v>302</v>
      </c>
      <c r="CD70" s="435"/>
      <c r="CE70" s="436"/>
      <c r="CF70" s="437" t="s">
        <v>303</v>
      </c>
      <c r="CG70" s="438"/>
      <c r="CH70" s="436"/>
      <c r="CI70" s="439" t="s">
        <v>304</v>
      </c>
      <c r="CJ70" s="440"/>
      <c r="CK70" s="387"/>
      <c r="CL70" s="441"/>
      <c r="CM70" s="441"/>
      <c r="CN70" s="387"/>
      <c r="CO70" s="387"/>
      <c r="CP70" s="387"/>
      <c r="CQ70" s="387"/>
      <c r="CR70" s="387"/>
      <c r="CS70" s="387"/>
      <c r="CT70" s="387"/>
      <c r="CU70" s="441"/>
      <c r="CV70" s="441"/>
      <c r="CW70" s="370"/>
      <c r="CX70" s="371"/>
      <c r="CY70" s="364"/>
      <c r="CZ70" s="434" t="s">
        <v>302</v>
      </c>
      <c r="DA70" s="435"/>
      <c r="DB70" s="436"/>
      <c r="DC70" s="437" t="s">
        <v>303</v>
      </c>
      <c r="DD70" s="438"/>
      <c r="DE70" s="436"/>
      <c r="DF70" s="439" t="s">
        <v>304</v>
      </c>
      <c r="DG70" s="440"/>
      <c r="DH70" s="387"/>
      <c r="DI70" s="441"/>
      <c r="DJ70" s="441"/>
      <c r="DK70" s="387"/>
      <c r="DL70" s="387"/>
      <c r="DM70" s="387"/>
      <c r="DN70" s="387"/>
      <c r="DO70" s="387"/>
      <c r="DP70" s="387"/>
      <c r="DQ70" s="387"/>
      <c r="DR70" s="441"/>
      <c r="DS70" s="441"/>
      <c r="DT70" s="370"/>
      <c r="DU70" s="371"/>
    </row>
    <row r="71" spans="1:125" s="22" customFormat="1">
      <c r="A71" s="42" t="s">
        <v>30</v>
      </c>
      <c r="B71" s="26">
        <f>IF(Premium!$C$7="FL",CD72,AZ72)</f>
        <v>1.5</v>
      </c>
      <c r="D71" s="24" t="s">
        <v>30</v>
      </c>
      <c r="E71" s="27">
        <v>1.08</v>
      </c>
      <c r="G71" s="65" t="s">
        <v>20</v>
      </c>
      <c r="H71" s="27">
        <v>1.2</v>
      </c>
      <c r="I71" s="21"/>
      <c r="J71" s="21"/>
      <c r="K71" s="21"/>
      <c r="O71" s="7" t="s">
        <v>0</v>
      </c>
      <c r="P71" s="7"/>
      <c r="Q71" s="2" t="s">
        <v>62</v>
      </c>
      <c r="R71" s="480" t="s">
        <v>396</v>
      </c>
      <c r="S71" s="480">
        <v>8.7499999999999994E-2</v>
      </c>
      <c r="T71" s="2"/>
      <c r="X71" s="21"/>
      <c r="Y71" s="35"/>
      <c r="Z71" s="35"/>
      <c r="AA71" s="35"/>
      <c r="AB71" s="35"/>
      <c r="AC71" s="35"/>
      <c r="AK71" s="182"/>
      <c r="AL71" s="182"/>
      <c r="AM71" s="182"/>
      <c r="AN71" s="182"/>
      <c r="AT71" s="196"/>
      <c r="AU71" s="196"/>
      <c r="AX71" s="364"/>
      <c r="AY71" s="442" t="s">
        <v>28</v>
      </c>
      <c r="AZ71" s="395">
        <v>2</v>
      </c>
      <c r="BA71" s="436"/>
      <c r="BB71" s="443" t="s">
        <v>29</v>
      </c>
      <c r="BC71" s="395"/>
      <c r="BD71" s="436"/>
      <c r="BE71" s="444"/>
      <c r="BF71" s="445"/>
      <c r="BG71" s="387"/>
      <c r="BH71" s="446"/>
      <c r="BI71" s="446"/>
      <c r="BJ71" s="387"/>
      <c r="BK71" s="387"/>
      <c r="BL71" s="387"/>
      <c r="BM71" s="387"/>
      <c r="BN71" s="387"/>
      <c r="BO71" s="387"/>
      <c r="BP71" s="387"/>
      <c r="BQ71" s="446"/>
      <c r="BR71" s="446"/>
      <c r="BS71" s="370"/>
      <c r="BT71" s="370"/>
      <c r="BU71" s="370"/>
      <c r="BV71" s="370"/>
      <c r="BW71" s="371"/>
      <c r="BX71" s="371"/>
      <c r="BY71" s="371"/>
      <c r="BZ71" s="371"/>
      <c r="CA71" s="364"/>
      <c r="CB71" s="364"/>
      <c r="CC71" s="442" t="s">
        <v>28</v>
      </c>
      <c r="CD71" s="395">
        <v>1.9</v>
      </c>
      <c r="CE71" s="436"/>
      <c r="CF71" s="443" t="s">
        <v>29</v>
      </c>
      <c r="CG71" s="395"/>
      <c r="CH71" s="436"/>
      <c r="CI71" s="444"/>
      <c r="CJ71" s="445"/>
      <c r="CK71" s="387"/>
      <c r="CL71" s="446"/>
      <c r="CM71" s="446"/>
      <c r="CN71" s="387"/>
      <c r="CO71" s="387"/>
      <c r="CP71" s="387"/>
      <c r="CQ71" s="387"/>
      <c r="CR71" s="387"/>
      <c r="CS71" s="387"/>
      <c r="CT71" s="387"/>
      <c r="CU71" s="446"/>
      <c r="CV71" s="446"/>
      <c r="CW71" s="370"/>
      <c r="CX71" s="371"/>
      <c r="CY71" s="364"/>
      <c r="CZ71" s="442" t="s">
        <v>28</v>
      </c>
      <c r="DA71" s="395">
        <v>1.9</v>
      </c>
      <c r="DB71" s="436"/>
      <c r="DC71" s="443" t="s">
        <v>29</v>
      </c>
      <c r="DD71" s="395"/>
      <c r="DE71" s="436"/>
      <c r="DF71" s="444"/>
      <c r="DG71" s="445"/>
      <c r="DH71" s="387"/>
      <c r="DI71" s="446"/>
      <c r="DJ71" s="446"/>
      <c r="DK71" s="387"/>
      <c r="DL71" s="387"/>
      <c r="DM71" s="387"/>
      <c r="DN71" s="387"/>
      <c r="DO71" s="387"/>
      <c r="DP71" s="387"/>
      <c r="DQ71" s="387"/>
      <c r="DR71" s="446"/>
      <c r="DS71" s="446"/>
      <c r="DT71" s="370"/>
      <c r="DU71" s="371"/>
    </row>
    <row r="72" spans="1:125" s="22" customFormat="1">
      <c r="A72" s="42" t="s">
        <v>31</v>
      </c>
      <c r="B72" s="26">
        <f>IF(Premium!$C$7="FL",CD73,AZ73)</f>
        <v>1.25</v>
      </c>
      <c r="D72" s="24" t="s">
        <v>31</v>
      </c>
      <c r="E72" s="27">
        <v>1.1100000000000001</v>
      </c>
      <c r="G72" s="65" t="s">
        <v>21</v>
      </c>
      <c r="H72" s="27">
        <v>1.25</v>
      </c>
      <c r="I72" s="21"/>
      <c r="J72" s="21"/>
      <c r="K72" s="21"/>
      <c r="O72" s="2" t="s">
        <v>34</v>
      </c>
      <c r="P72" s="8">
        <f>B75</f>
        <v>0.8</v>
      </c>
      <c r="Q72" s="2" t="s">
        <v>34</v>
      </c>
      <c r="R72" s="480" t="s">
        <v>397</v>
      </c>
      <c r="S72" s="480">
        <v>8.7499999999999994E-2</v>
      </c>
      <c r="T72" s="2"/>
      <c r="X72" s="21"/>
      <c r="Y72" s="35"/>
      <c r="Z72" s="35"/>
      <c r="AA72" s="35"/>
      <c r="AB72" s="35"/>
      <c r="AC72" s="35"/>
      <c r="AK72" s="167"/>
      <c r="AL72" s="167"/>
      <c r="AM72" s="167"/>
      <c r="AN72" s="167"/>
      <c r="AT72" s="196"/>
      <c r="AU72" s="196"/>
      <c r="AX72" s="364"/>
      <c r="AY72" s="442" t="s">
        <v>30</v>
      </c>
      <c r="AZ72" s="395">
        <v>1.5</v>
      </c>
      <c r="BA72" s="436"/>
      <c r="BB72" s="443" t="s">
        <v>30</v>
      </c>
      <c r="BC72" s="447">
        <v>1.08</v>
      </c>
      <c r="BD72" s="436"/>
      <c r="BE72" s="448" t="s">
        <v>305</v>
      </c>
      <c r="BF72" s="449">
        <v>1.1000000000000001</v>
      </c>
      <c r="BG72" s="387"/>
      <c r="BH72" s="387"/>
      <c r="BI72" s="387"/>
      <c r="BJ72" s="387"/>
      <c r="BK72" s="387"/>
      <c r="BL72" s="387"/>
      <c r="BM72" s="387"/>
      <c r="BN72" s="387"/>
      <c r="BO72" s="387"/>
      <c r="BP72" s="387"/>
      <c r="BQ72" s="446"/>
      <c r="BR72" s="446"/>
      <c r="BS72" s="370"/>
      <c r="BT72" s="370"/>
      <c r="BU72" s="370"/>
      <c r="BV72" s="370"/>
      <c r="BW72" s="371"/>
      <c r="BX72" s="371"/>
      <c r="BY72" s="371"/>
      <c r="BZ72" s="371"/>
      <c r="CA72" s="364"/>
      <c r="CB72" s="364"/>
      <c r="CC72" s="442" t="s">
        <v>30</v>
      </c>
      <c r="CD72" s="395">
        <v>1.4</v>
      </c>
      <c r="CE72" s="436"/>
      <c r="CF72" s="443" t="s">
        <v>30</v>
      </c>
      <c r="CG72" s="447">
        <v>1.08</v>
      </c>
      <c r="CH72" s="436"/>
      <c r="CI72" s="448" t="s">
        <v>305</v>
      </c>
      <c r="CJ72" s="449">
        <v>1.1000000000000001</v>
      </c>
      <c r="CK72" s="387"/>
      <c r="CL72" s="387"/>
      <c r="CM72" s="387"/>
      <c r="CN72" s="387"/>
      <c r="CO72" s="387"/>
      <c r="CP72" s="387"/>
      <c r="CQ72" s="387"/>
      <c r="CR72" s="387"/>
      <c r="CS72" s="387"/>
      <c r="CT72" s="387"/>
      <c r="CU72" s="446"/>
      <c r="CV72" s="446"/>
      <c r="CW72" s="370"/>
      <c r="CX72" s="371"/>
      <c r="CY72" s="364"/>
      <c r="CZ72" s="442" t="s">
        <v>30</v>
      </c>
      <c r="DA72" s="395">
        <v>1.4</v>
      </c>
      <c r="DB72" s="436"/>
      <c r="DC72" s="443" t="s">
        <v>30</v>
      </c>
      <c r="DD72" s="447">
        <v>1.08</v>
      </c>
      <c r="DE72" s="436"/>
      <c r="DF72" s="448" t="s">
        <v>305</v>
      </c>
      <c r="DG72" s="449">
        <v>1.1000000000000001</v>
      </c>
      <c r="DH72" s="387"/>
      <c r="DI72" s="387"/>
      <c r="DJ72" s="387"/>
      <c r="DK72" s="387"/>
      <c r="DL72" s="387"/>
      <c r="DM72" s="387"/>
      <c r="DN72" s="387"/>
      <c r="DO72" s="387"/>
      <c r="DP72" s="387"/>
      <c r="DQ72" s="387"/>
      <c r="DR72" s="446"/>
      <c r="DS72" s="446"/>
      <c r="DT72" s="370"/>
      <c r="DU72" s="371"/>
    </row>
    <row r="73" spans="1:125" s="22" customFormat="1">
      <c r="A73" s="42" t="s">
        <v>32</v>
      </c>
      <c r="B73" s="26">
        <f>IF(Premium!$C$7="FL",CD74,AZ74)</f>
        <v>1.1499999999999999</v>
      </c>
      <c r="D73" s="24" t="s">
        <v>32</v>
      </c>
      <c r="E73" s="27">
        <v>1.1499999999999999</v>
      </c>
      <c r="I73" s="21"/>
      <c r="J73" s="21"/>
      <c r="K73" s="21"/>
      <c r="O73" s="2" t="s">
        <v>33</v>
      </c>
      <c r="P73" s="8">
        <f>B74</f>
        <v>1</v>
      </c>
      <c r="Q73" s="2" t="s">
        <v>33</v>
      </c>
      <c r="R73" s="480" t="s">
        <v>398</v>
      </c>
      <c r="S73" s="480">
        <v>8.7499999999999994E-2</v>
      </c>
      <c r="T73" s="2"/>
      <c r="X73" s="21"/>
      <c r="Y73" s="35"/>
      <c r="Z73" s="35"/>
      <c r="AA73" s="35"/>
      <c r="AB73" s="35"/>
      <c r="AC73" s="35"/>
      <c r="AK73" s="167"/>
      <c r="AL73" s="167"/>
      <c r="AM73" s="167"/>
      <c r="AN73" s="167"/>
      <c r="AT73" s="196"/>
      <c r="AU73" s="196"/>
      <c r="AX73" s="364"/>
      <c r="AY73" s="442" t="s">
        <v>31</v>
      </c>
      <c r="AZ73" s="395">
        <v>1.25</v>
      </c>
      <c r="BA73" s="436"/>
      <c r="BB73" s="443" t="s">
        <v>31</v>
      </c>
      <c r="BC73" s="447">
        <v>1.1100000000000001</v>
      </c>
      <c r="BD73" s="436"/>
      <c r="BE73" s="448" t="s">
        <v>306</v>
      </c>
      <c r="BF73" s="449">
        <v>1.2</v>
      </c>
      <c r="BG73" s="387"/>
      <c r="BH73" s="387"/>
      <c r="BI73" s="387"/>
      <c r="BJ73" s="387"/>
      <c r="BK73" s="387"/>
      <c r="BL73" s="387"/>
      <c r="BM73" s="387"/>
      <c r="BN73" s="387"/>
      <c r="BO73" s="387"/>
      <c r="BP73" s="387"/>
      <c r="BQ73" s="446"/>
      <c r="BR73" s="446"/>
      <c r="BS73" s="370"/>
      <c r="BT73" s="370"/>
      <c r="BU73" s="370"/>
      <c r="BV73" s="370"/>
      <c r="BW73" s="371"/>
      <c r="BX73" s="371"/>
      <c r="BY73" s="371"/>
      <c r="BZ73" s="371"/>
      <c r="CA73" s="364"/>
      <c r="CB73" s="364"/>
      <c r="CC73" s="442" t="s">
        <v>31</v>
      </c>
      <c r="CD73" s="395">
        <v>1.25</v>
      </c>
      <c r="CE73" s="436"/>
      <c r="CF73" s="443" t="s">
        <v>31</v>
      </c>
      <c r="CG73" s="447">
        <v>1.1100000000000001</v>
      </c>
      <c r="CH73" s="436"/>
      <c r="CI73" s="448" t="s">
        <v>306</v>
      </c>
      <c r="CJ73" s="449">
        <v>1.2</v>
      </c>
      <c r="CK73" s="387"/>
      <c r="CL73" s="387"/>
      <c r="CM73" s="387"/>
      <c r="CN73" s="387"/>
      <c r="CO73" s="387"/>
      <c r="CP73" s="387"/>
      <c r="CQ73" s="387"/>
      <c r="CR73" s="387"/>
      <c r="CS73" s="387"/>
      <c r="CT73" s="387"/>
      <c r="CU73" s="446"/>
      <c r="CV73" s="446"/>
      <c r="CW73" s="370"/>
      <c r="CX73" s="371"/>
      <c r="CY73" s="364"/>
      <c r="CZ73" s="442" t="s">
        <v>31</v>
      </c>
      <c r="DA73" s="395">
        <v>1.25</v>
      </c>
      <c r="DB73" s="436"/>
      <c r="DC73" s="443" t="s">
        <v>31</v>
      </c>
      <c r="DD73" s="447">
        <v>1.1100000000000001</v>
      </c>
      <c r="DE73" s="436"/>
      <c r="DF73" s="448" t="s">
        <v>306</v>
      </c>
      <c r="DG73" s="449">
        <v>1.2</v>
      </c>
      <c r="DH73" s="387"/>
      <c r="DI73" s="387"/>
      <c r="DJ73" s="387"/>
      <c r="DK73" s="387"/>
      <c r="DL73" s="387"/>
      <c r="DM73" s="387"/>
      <c r="DN73" s="387"/>
      <c r="DO73" s="387"/>
      <c r="DP73" s="387"/>
      <c r="DQ73" s="387"/>
      <c r="DR73" s="446"/>
      <c r="DS73" s="446"/>
      <c r="DT73" s="370"/>
      <c r="DU73" s="371"/>
    </row>
    <row r="74" spans="1:125" s="22" customFormat="1" ht="26.25">
      <c r="A74" s="42" t="s">
        <v>33</v>
      </c>
      <c r="B74" s="26">
        <f>IF(Premium!$C$7="FL",CD75,AZ75)</f>
        <v>1</v>
      </c>
      <c r="D74" s="24" t="s">
        <v>33</v>
      </c>
      <c r="E74" s="27">
        <v>1.21</v>
      </c>
      <c r="G74" s="66" t="s">
        <v>52</v>
      </c>
      <c r="H74" s="27">
        <v>1.1000000000000001</v>
      </c>
      <c r="I74" s="21"/>
      <c r="J74" s="21"/>
      <c r="K74" s="21"/>
      <c r="O74" s="2" t="s">
        <v>57</v>
      </c>
      <c r="P74" s="8">
        <f>B73</f>
        <v>1.1499999999999999</v>
      </c>
      <c r="Q74" s="2" t="s">
        <v>32</v>
      </c>
      <c r="R74" s="480" t="s">
        <v>399</v>
      </c>
      <c r="S74" s="480">
        <v>8.7499999999999994E-2</v>
      </c>
      <c r="T74" s="2"/>
      <c r="X74" s="21"/>
      <c r="Y74" s="35"/>
      <c r="Z74" s="35"/>
      <c r="AA74" s="35"/>
      <c r="AB74" s="35"/>
      <c r="AC74" s="35"/>
      <c r="AK74" s="167"/>
      <c r="AL74" s="167"/>
      <c r="AM74" s="167"/>
      <c r="AN74" s="167"/>
      <c r="AT74" s="196"/>
      <c r="AU74" s="196"/>
      <c r="AX74" s="364"/>
      <c r="AY74" s="442" t="s">
        <v>32</v>
      </c>
      <c r="AZ74" s="395">
        <v>1.1499999999999999</v>
      </c>
      <c r="BA74" s="436"/>
      <c r="BB74" s="443" t="s">
        <v>32</v>
      </c>
      <c r="BC74" s="447">
        <v>1.1499999999999999</v>
      </c>
      <c r="BD74" s="436"/>
      <c r="BE74" s="450" t="s">
        <v>21</v>
      </c>
      <c r="BF74" s="451">
        <v>1.25</v>
      </c>
      <c r="BG74" s="387"/>
      <c r="BH74" s="387"/>
      <c r="BI74" s="387"/>
      <c r="BJ74" s="387"/>
      <c r="BK74" s="387"/>
      <c r="BL74" s="387"/>
      <c r="BM74" s="387"/>
      <c r="BN74" s="387"/>
      <c r="BO74" s="387"/>
      <c r="BP74" s="387"/>
      <c r="BQ74" s="446"/>
      <c r="BR74" s="446"/>
      <c r="BS74" s="370"/>
      <c r="BT74" s="370"/>
      <c r="BU74" s="370"/>
      <c r="BV74" s="370"/>
      <c r="BW74" s="371"/>
      <c r="BX74" s="371"/>
      <c r="BY74" s="371"/>
      <c r="BZ74" s="371"/>
      <c r="CA74" s="364"/>
      <c r="CB74" s="364"/>
      <c r="CC74" s="442" t="s">
        <v>32</v>
      </c>
      <c r="CD74" s="395">
        <v>1.1499999999999999</v>
      </c>
      <c r="CE74" s="436"/>
      <c r="CF74" s="443" t="s">
        <v>32</v>
      </c>
      <c r="CG74" s="447">
        <v>1.1499999999999999</v>
      </c>
      <c r="CH74" s="436"/>
      <c r="CI74" s="450" t="s">
        <v>21</v>
      </c>
      <c r="CJ74" s="451">
        <v>1.25</v>
      </c>
      <c r="CK74" s="387"/>
      <c r="CL74" s="387"/>
      <c r="CM74" s="387"/>
      <c r="CN74" s="387"/>
      <c r="CO74" s="387"/>
      <c r="CP74" s="387"/>
      <c r="CQ74" s="387"/>
      <c r="CR74" s="387"/>
      <c r="CS74" s="387"/>
      <c r="CT74" s="387"/>
      <c r="CU74" s="446"/>
      <c r="CV74" s="446"/>
      <c r="CW74" s="370"/>
      <c r="CX74" s="371"/>
      <c r="CY74" s="364"/>
      <c r="CZ74" s="442" t="s">
        <v>32</v>
      </c>
      <c r="DA74" s="395">
        <v>1.1499999999999999</v>
      </c>
      <c r="DB74" s="436"/>
      <c r="DC74" s="443" t="s">
        <v>32</v>
      </c>
      <c r="DD74" s="447">
        <v>1.1499999999999999</v>
      </c>
      <c r="DE74" s="436"/>
      <c r="DF74" s="450" t="s">
        <v>21</v>
      </c>
      <c r="DG74" s="451">
        <v>1.25</v>
      </c>
      <c r="DH74" s="387"/>
      <c r="DI74" s="387"/>
      <c r="DJ74" s="387"/>
      <c r="DK74" s="387"/>
      <c r="DL74" s="387"/>
      <c r="DM74" s="387"/>
      <c r="DN74" s="387"/>
      <c r="DO74" s="387"/>
      <c r="DP74" s="387"/>
      <c r="DQ74" s="387"/>
      <c r="DR74" s="446"/>
      <c r="DS74" s="446"/>
      <c r="DT74" s="370"/>
      <c r="DU74" s="371"/>
    </row>
    <row r="75" spans="1:125" s="22" customFormat="1" ht="26.25">
      <c r="A75" s="67" t="s">
        <v>34</v>
      </c>
      <c r="B75" s="68">
        <f>IF(Premium!$C$7="FL",CD76,AZ76)</f>
        <v>0.8</v>
      </c>
      <c r="C75" s="25"/>
      <c r="D75" s="69" t="s">
        <v>34</v>
      </c>
      <c r="E75" s="70">
        <v>1.3</v>
      </c>
      <c r="G75" s="66" t="s">
        <v>53</v>
      </c>
      <c r="H75" s="27">
        <v>1.02</v>
      </c>
      <c r="I75" s="21"/>
      <c r="J75" s="21"/>
      <c r="K75" s="21"/>
      <c r="O75" s="2" t="s">
        <v>58</v>
      </c>
      <c r="P75" s="8">
        <f>B72</f>
        <v>1.25</v>
      </c>
      <c r="Q75" s="2" t="s">
        <v>31</v>
      </c>
      <c r="R75" s="480" t="s">
        <v>400</v>
      </c>
      <c r="S75" s="480">
        <v>8.7499999999999994E-2</v>
      </c>
      <c r="T75" s="2"/>
      <c r="X75" s="21"/>
      <c r="Y75" s="21"/>
      <c r="Z75" s="35"/>
      <c r="AA75" s="35"/>
      <c r="AB75" s="35"/>
      <c r="AC75" s="35"/>
      <c r="AD75" s="35"/>
      <c r="AK75" s="167"/>
      <c r="AL75" s="167"/>
      <c r="AM75" s="167"/>
      <c r="AN75" s="167"/>
      <c r="AT75" s="196"/>
      <c r="AU75" s="196"/>
      <c r="AX75" s="364"/>
      <c r="AY75" s="442" t="s">
        <v>33</v>
      </c>
      <c r="AZ75" s="395">
        <v>1</v>
      </c>
      <c r="BA75" s="436"/>
      <c r="BB75" s="443" t="s">
        <v>33</v>
      </c>
      <c r="BC75" s="447">
        <v>1.21</v>
      </c>
      <c r="BD75" s="436"/>
      <c r="BE75" s="436"/>
      <c r="BF75" s="386"/>
      <c r="BG75" s="387"/>
      <c r="BH75" s="387"/>
      <c r="BI75" s="387"/>
      <c r="BJ75" s="387"/>
      <c r="BK75" s="387"/>
      <c r="BL75" s="387"/>
      <c r="BM75" s="387"/>
      <c r="BN75" s="387"/>
      <c r="BO75" s="387"/>
      <c r="BP75" s="387"/>
      <c r="BQ75" s="446"/>
      <c r="BR75" s="446"/>
      <c r="BS75" s="370"/>
      <c r="BT75" s="370"/>
      <c r="BU75" s="370"/>
      <c r="BV75" s="370"/>
      <c r="BW75" s="371"/>
      <c r="BX75" s="371"/>
      <c r="BY75" s="371"/>
      <c r="BZ75" s="371"/>
      <c r="CA75" s="364"/>
      <c r="CB75" s="364"/>
      <c r="CC75" s="442" t="s">
        <v>33</v>
      </c>
      <c r="CD75" s="395">
        <v>1</v>
      </c>
      <c r="CE75" s="436"/>
      <c r="CF75" s="443" t="s">
        <v>33</v>
      </c>
      <c r="CG75" s="447">
        <v>1.21</v>
      </c>
      <c r="CH75" s="436"/>
      <c r="CI75" s="436"/>
      <c r="CJ75" s="386"/>
      <c r="CK75" s="387"/>
      <c r="CL75" s="387"/>
      <c r="CM75" s="387"/>
      <c r="CN75" s="387"/>
      <c r="CO75" s="387"/>
      <c r="CP75" s="387"/>
      <c r="CQ75" s="387"/>
      <c r="CR75" s="387"/>
      <c r="CS75" s="387"/>
      <c r="CT75" s="387"/>
      <c r="CU75" s="446"/>
      <c r="CV75" s="446"/>
      <c r="CW75" s="370"/>
      <c r="CX75" s="371"/>
      <c r="CY75" s="364"/>
      <c r="CZ75" s="442" t="s">
        <v>33</v>
      </c>
      <c r="DA75" s="395">
        <v>1</v>
      </c>
      <c r="DB75" s="436"/>
      <c r="DC75" s="443" t="s">
        <v>33</v>
      </c>
      <c r="DD75" s="447">
        <v>1.21</v>
      </c>
      <c r="DE75" s="436"/>
      <c r="DF75" s="436"/>
      <c r="DG75" s="386"/>
      <c r="DH75" s="387"/>
      <c r="DI75" s="387"/>
      <c r="DJ75" s="387"/>
      <c r="DK75" s="387"/>
      <c r="DL75" s="387"/>
      <c r="DM75" s="387"/>
      <c r="DN75" s="387"/>
      <c r="DO75" s="387"/>
      <c r="DP75" s="387"/>
      <c r="DQ75" s="387"/>
      <c r="DR75" s="446"/>
      <c r="DS75" s="446"/>
      <c r="DT75" s="370"/>
      <c r="DU75" s="371"/>
    </row>
    <row r="76" spans="1:125" s="22" customFormat="1" ht="26.25">
      <c r="A76" s="42"/>
      <c r="B76" s="26"/>
      <c r="D76" s="24"/>
      <c r="E76" s="27"/>
      <c r="I76" s="43"/>
      <c r="J76" s="21"/>
      <c r="K76" s="21"/>
      <c r="O76" s="2" t="s">
        <v>59</v>
      </c>
      <c r="P76" s="8">
        <f>B71</f>
        <v>1.5</v>
      </c>
      <c r="Q76" s="2" t="s">
        <v>30</v>
      </c>
      <c r="R76" s="480" t="s">
        <v>401</v>
      </c>
      <c r="S76" s="480">
        <v>9.5000000000000001E-2</v>
      </c>
      <c r="T76" s="2"/>
      <c r="X76" s="21"/>
      <c r="Y76" s="35"/>
      <c r="Z76" s="35"/>
      <c r="AA76" s="35"/>
      <c r="AB76" s="35"/>
      <c r="AC76" s="35"/>
      <c r="AK76" s="167"/>
      <c r="AL76" s="167"/>
      <c r="AM76" s="167"/>
      <c r="AN76" s="167"/>
      <c r="AT76" s="196"/>
      <c r="AU76" s="196"/>
      <c r="AX76" s="364"/>
      <c r="AY76" s="452" t="s">
        <v>34</v>
      </c>
      <c r="AZ76" s="453">
        <v>0.8</v>
      </c>
      <c r="BA76" s="454"/>
      <c r="BB76" s="455" t="s">
        <v>34</v>
      </c>
      <c r="BC76" s="456">
        <v>1.3</v>
      </c>
      <c r="BD76" s="436"/>
      <c r="BE76" s="457" t="s">
        <v>307</v>
      </c>
      <c r="BF76" s="458">
        <v>1.1000000000000001</v>
      </c>
      <c r="BG76" s="387"/>
      <c r="BH76" s="387"/>
      <c r="BI76" s="387"/>
      <c r="BJ76" s="387"/>
      <c r="BK76" s="387"/>
      <c r="BL76" s="387"/>
      <c r="BM76" s="387"/>
      <c r="BN76" s="387"/>
      <c r="BO76" s="387"/>
      <c r="BP76" s="387"/>
      <c r="BQ76" s="446"/>
      <c r="BR76" s="446"/>
      <c r="BS76" s="370"/>
      <c r="BT76" s="370"/>
      <c r="BU76" s="370"/>
      <c r="BV76" s="370"/>
      <c r="BW76" s="371"/>
      <c r="BX76" s="371"/>
      <c r="BY76" s="371"/>
      <c r="BZ76" s="371"/>
      <c r="CA76" s="364"/>
      <c r="CB76" s="364"/>
      <c r="CC76" s="452" t="s">
        <v>34</v>
      </c>
      <c r="CD76" s="453">
        <v>0.8</v>
      </c>
      <c r="CE76" s="454"/>
      <c r="CF76" s="455" t="s">
        <v>34</v>
      </c>
      <c r="CG76" s="456">
        <v>1.3</v>
      </c>
      <c r="CH76" s="436"/>
      <c r="CI76" s="459"/>
      <c r="CJ76" s="451"/>
      <c r="CK76" s="387"/>
      <c r="CL76" s="387"/>
      <c r="CM76" s="387"/>
      <c r="CN76" s="387"/>
      <c r="CO76" s="387"/>
      <c r="CP76" s="387"/>
      <c r="CQ76" s="387"/>
      <c r="CR76" s="387"/>
      <c r="CS76" s="387"/>
      <c r="CT76" s="387"/>
      <c r="CU76" s="446"/>
      <c r="CV76" s="446"/>
      <c r="CW76" s="370"/>
      <c r="CX76" s="371"/>
      <c r="CY76" s="364"/>
      <c r="CZ76" s="452" t="s">
        <v>34</v>
      </c>
      <c r="DA76" s="453">
        <v>0.8</v>
      </c>
      <c r="DB76" s="454"/>
      <c r="DC76" s="455" t="s">
        <v>34</v>
      </c>
      <c r="DD76" s="456">
        <v>1.3</v>
      </c>
      <c r="DE76" s="436"/>
      <c r="DF76" s="459"/>
      <c r="DG76" s="451"/>
      <c r="DH76" s="387"/>
      <c r="DI76" s="387"/>
      <c r="DJ76" s="387"/>
      <c r="DK76" s="387"/>
      <c r="DL76" s="387"/>
      <c r="DM76" s="387"/>
      <c r="DN76" s="387"/>
      <c r="DO76" s="387"/>
      <c r="DP76" s="387"/>
      <c r="DQ76" s="387"/>
      <c r="DR76" s="446"/>
      <c r="DS76" s="446"/>
      <c r="DT76" s="370"/>
      <c r="DU76" s="371"/>
    </row>
    <row r="77" spans="1:125" s="22" customFormat="1" ht="26.25">
      <c r="A77" s="42"/>
      <c r="B77" s="26"/>
      <c r="D77" s="24"/>
      <c r="E77" s="26"/>
      <c r="G77" s="44"/>
      <c r="H77" s="44"/>
      <c r="I77" s="44"/>
      <c r="J77" s="21"/>
      <c r="K77" s="21"/>
      <c r="O77" s="2" t="s">
        <v>36</v>
      </c>
      <c r="P77" s="8">
        <f>B70</f>
        <v>2</v>
      </c>
      <c r="Q77" s="2" t="s">
        <v>28</v>
      </c>
      <c r="R77" s="480" t="s">
        <v>402</v>
      </c>
      <c r="S77" s="480">
        <v>8.7499999999999994E-2</v>
      </c>
      <c r="T77" s="2"/>
      <c r="X77" s="21"/>
      <c r="Y77" s="40"/>
      <c r="Z77" s="35"/>
      <c r="AA77" s="35"/>
      <c r="AB77" s="35"/>
      <c r="AC77" s="35"/>
      <c r="AK77" s="167"/>
      <c r="AL77" s="167"/>
      <c r="AM77" s="167"/>
      <c r="AN77" s="167"/>
      <c r="AT77" s="196"/>
      <c r="AU77" s="196"/>
      <c r="AX77" s="364"/>
      <c r="AY77" s="442"/>
      <c r="AZ77" s="460"/>
      <c r="BA77" s="436"/>
      <c r="BB77" s="446"/>
      <c r="BC77" s="461"/>
      <c r="BD77" s="436"/>
      <c r="BE77" s="462" t="s">
        <v>308</v>
      </c>
      <c r="BF77" s="451">
        <v>1.02</v>
      </c>
      <c r="BG77" s="387"/>
      <c r="BH77" s="387"/>
      <c r="BI77" s="387"/>
      <c r="BJ77" s="387"/>
      <c r="BK77" s="387"/>
      <c r="BL77" s="387"/>
      <c r="BM77" s="387"/>
      <c r="BN77" s="387"/>
      <c r="BO77" s="387"/>
      <c r="BP77" s="387"/>
      <c r="BQ77" s="446"/>
      <c r="BR77" s="446"/>
      <c r="BS77" s="370"/>
      <c r="BT77" s="370"/>
      <c r="BU77" s="370"/>
      <c r="BV77" s="370"/>
      <c r="BW77" s="371"/>
      <c r="BX77" s="371"/>
      <c r="BY77" s="371"/>
      <c r="BZ77" s="371"/>
      <c r="CA77" s="364"/>
      <c r="CB77" s="364"/>
      <c r="CC77" s="442"/>
      <c r="CD77" s="460"/>
      <c r="CE77" s="436"/>
      <c r="CF77" s="446"/>
      <c r="CG77" s="461"/>
      <c r="CH77" s="436"/>
      <c r="CI77" s="457" t="s">
        <v>309</v>
      </c>
      <c r="CJ77" s="458">
        <v>1.1000000000000001</v>
      </c>
      <c r="CK77" s="387"/>
      <c r="CL77" s="387"/>
      <c r="CM77" s="387"/>
      <c r="CN77" s="387"/>
      <c r="CO77" s="387"/>
      <c r="CP77" s="387"/>
      <c r="CQ77" s="387"/>
      <c r="CR77" s="387"/>
      <c r="CS77" s="387"/>
      <c r="CT77" s="387"/>
      <c r="CU77" s="446"/>
      <c r="CV77" s="446"/>
      <c r="CW77" s="370"/>
      <c r="CX77" s="371"/>
      <c r="CY77" s="364"/>
      <c r="CZ77" s="442"/>
      <c r="DA77" s="460"/>
      <c r="DB77" s="436"/>
      <c r="DC77" s="446"/>
      <c r="DD77" s="461"/>
      <c r="DE77" s="436"/>
      <c r="DF77" s="457" t="s">
        <v>309</v>
      </c>
      <c r="DG77" s="458">
        <v>1.1000000000000001</v>
      </c>
      <c r="DH77" s="387"/>
      <c r="DI77" s="387"/>
      <c r="DJ77" s="387"/>
      <c r="DK77" s="387"/>
      <c r="DL77" s="387"/>
      <c r="DM77" s="387"/>
      <c r="DN77" s="387"/>
      <c r="DO77" s="387"/>
      <c r="DP77" s="387"/>
      <c r="DQ77" s="387"/>
      <c r="DR77" s="446"/>
      <c r="DS77" s="446"/>
      <c r="DT77" s="370"/>
      <c r="DU77" s="371"/>
    </row>
    <row r="78" spans="1:125" s="22" customFormat="1" ht="27" thickBot="1">
      <c r="A78" s="46" t="s">
        <v>80</v>
      </c>
      <c r="B78" s="34"/>
      <c r="C78" s="34"/>
      <c r="D78" s="33"/>
      <c r="E78" s="34"/>
      <c r="F78" s="33"/>
      <c r="G78" s="34"/>
      <c r="H78" s="34"/>
      <c r="I78" s="33"/>
      <c r="J78" s="21"/>
      <c r="K78" s="21"/>
      <c r="O78" s="7" t="s">
        <v>99</v>
      </c>
      <c r="P78" s="7"/>
      <c r="Q78" s="2"/>
      <c r="R78" s="480" t="s">
        <v>403</v>
      </c>
      <c r="S78" s="480">
        <v>8.7499999999999994E-2</v>
      </c>
      <c r="T78" s="2"/>
      <c r="Y78" s="40"/>
      <c r="Z78" s="35"/>
      <c r="AA78" s="35"/>
      <c r="AB78" s="35"/>
      <c r="AC78" s="35"/>
      <c r="AK78" s="167"/>
      <c r="AL78" s="167"/>
      <c r="AM78" s="167"/>
      <c r="AN78" s="167"/>
      <c r="AT78" s="196"/>
      <c r="AU78" s="196"/>
      <c r="AX78" s="364"/>
      <c r="AY78" s="463"/>
      <c r="AZ78" s="464"/>
      <c r="BA78" s="465"/>
      <c r="BB78" s="466"/>
      <c r="BC78" s="464"/>
      <c r="BD78" s="465"/>
      <c r="BE78" s="467"/>
      <c r="BF78" s="468"/>
      <c r="BG78" s="387"/>
      <c r="BH78" s="387"/>
      <c r="BI78" s="387"/>
      <c r="BJ78" s="387"/>
      <c r="BK78" s="387"/>
      <c r="BL78" s="387"/>
      <c r="BM78" s="387"/>
      <c r="BN78" s="387"/>
      <c r="BO78" s="387"/>
      <c r="BP78" s="387"/>
      <c r="BQ78" s="446"/>
      <c r="BR78" s="446"/>
      <c r="BS78" s="370"/>
      <c r="BT78" s="370"/>
      <c r="BU78" s="370"/>
      <c r="BV78" s="370"/>
      <c r="BW78" s="371"/>
      <c r="BX78" s="371"/>
      <c r="BY78" s="371"/>
      <c r="BZ78" s="371"/>
      <c r="CA78" s="364"/>
      <c r="CB78" s="364"/>
      <c r="CC78" s="463"/>
      <c r="CD78" s="464"/>
      <c r="CE78" s="465"/>
      <c r="CF78" s="466"/>
      <c r="CG78" s="464"/>
      <c r="CH78" s="465"/>
      <c r="CI78" s="469" t="s">
        <v>310</v>
      </c>
      <c r="CJ78" s="470">
        <v>1.02</v>
      </c>
      <c r="CK78" s="387"/>
      <c r="CL78" s="387"/>
      <c r="CM78" s="387"/>
      <c r="CN78" s="387"/>
      <c r="CO78" s="387"/>
      <c r="CP78" s="387"/>
      <c r="CQ78" s="387"/>
      <c r="CR78" s="387"/>
      <c r="CS78" s="387"/>
      <c r="CT78" s="387"/>
      <c r="CU78" s="446"/>
      <c r="CV78" s="446"/>
      <c r="CW78" s="370"/>
      <c r="CX78" s="371"/>
      <c r="CY78" s="364"/>
      <c r="CZ78" s="463"/>
      <c r="DA78" s="464"/>
      <c r="DB78" s="465"/>
      <c r="DC78" s="466"/>
      <c r="DD78" s="464"/>
      <c r="DE78" s="465"/>
      <c r="DF78" s="469" t="s">
        <v>311</v>
      </c>
      <c r="DG78" s="470">
        <v>1.02</v>
      </c>
      <c r="DH78" s="387"/>
      <c r="DI78" s="387"/>
      <c r="DJ78" s="387"/>
      <c r="DK78" s="387"/>
      <c r="DL78" s="387"/>
      <c r="DM78" s="387"/>
      <c r="DN78" s="387"/>
      <c r="DO78" s="387"/>
      <c r="DP78" s="387"/>
      <c r="DQ78" s="387"/>
      <c r="DR78" s="446"/>
      <c r="DS78" s="446"/>
      <c r="DT78" s="370"/>
      <c r="DU78" s="371"/>
    </row>
    <row r="79" spans="1:125" s="22" customFormat="1" ht="18.75">
      <c r="A79" s="126"/>
      <c r="B79" s="127"/>
      <c r="C79" s="127"/>
      <c r="D79" s="128"/>
      <c r="E79" s="127"/>
      <c r="F79" s="128"/>
      <c r="G79" s="127"/>
      <c r="H79" s="137"/>
      <c r="I79" s="33"/>
      <c r="J79" s="21"/>
      <c r="K79" s="21"/>
      <c r="O79" s="2" t="s">
        <v>15</v>
      </c>
      <c r="P79" s="8">
        <v>0.8</v>
      </c>
      <c r="Q79" s="2"/>
      <c r="R79" s="480" t="s">
        <v>404</v>
      </c>
      <c r="S79" s="480">
        <v>8.7499999999999994E-2</v>
      </c>
      <c r="T79" s="2"/>
      <c r="Y79" s="40"/>
      <c r="Z79" s="35"/>
      <c r="AA79" s="35"/>
      <c r="AB79" s="35"/>
      <c r="AC79" s="35"/>
      <c r="AK79" s="167"/>
      <c r="AL79" s="167"/>
      <c r="AM79" s="167"/>
      <c r="AN79" s="167"/>
      <c r="AT79" s="196"/>
      <c r="AU79" s="196"/>
      <c r="AX79" s="364"/>
      <c r="AY79" s="471"/>
      <c r="AZ79" s="471"/>
      <c r="BA79" s="471"/>
      <c r="BB79" s="471"/>
      <c r="BC79" s="471"/>
      <c r="BD79" s="471"/>
      <c r="BE79" s="471"/>
      <c r="BF79" s="471"/>
      <c r="BG79" s="471"/>
      <c r="BH79" s="471"/>
      <c r="BI79" s="471"/>
      <c r="BJ79" s="471"/>
      <c r="BK79" s="471"/>
      <c r="BL79" s="471"/>
      <c r="BM79" s="471"/>
      <c r="BN79" s="471"/>
      <c r="BO79" s="471"/>
      <c r="BP79" s="471"/>
      <c r="BQ79" s="471"/>
      <c r="BR79" s="471"/>
      <c r="BS79" s="471"/>
      <c r="BT79" s="471"/>
      <c r="BU79" s="471"/>
      <c r="BV79" s="471"/>
      <c r="BW79" s="471"/>
      <c r="BX79" s="471"/>
      <c r="BY79" s="471"/>
      <c r="BZ79" s="471"/>
      <c r="CA79" s="364"/>
      <c r="CB79" s="364"/>
      <c r="CC79" s="471"/>
      <c r="CD79" s="471"/>
      <c r="CE79" s="471"/>
      <c r="CF79" s="471"/>
      <c r="CG79" s="471"/>
      <c r="CH79" s="471"/>
      <c r="CI79" s="471"/>
      <c r="CJ79" s="471"/>
      <c r="CK79" s="471"/>
      <c r="CL79" s="471"/>
      <c r="CM79" s="471"/>
      <c r="CN79" s="471"/>
      <c r="CO79" s="471"/>
      <c r="CP79" s="471"/>
      <c r="CQ79" s="471"/>
      <c r="CR79" s="471"/>
      <c r="CS79" s="471"/>
      <c r="CT79" s="471"/>
      <c r="CU79" s="471"/>
      <c r="CV79" s="471"/>
      <c r="CW79" s="471"/>
      <c r="CX79" s="471"/>
      <c r="CY79" s="364"/>
      <c r="CZ79" s="471"/>
      <c r="DA79" s="471"/>
      <c r="DB79" s="471"/>
      <c r="DC79" s="471"/>
      <c r="DD79" s="471"/>
      <c r="DE79" s="471"/>
      <c r="DF79" s="471"/>
      <c r="DG79" s="471"/>
      <c r="DH79" s="471"/>
      <c r="DI79" s="471"/>
      <c r="DJ79" s="471"/>
      <c r="DK79" s="471"/>
      <c r="DL79" s="471"/>
      <c r="DM79" s="471"/>
      <c r="DN79" s="471"/>
      <c r="DO79" s="471"/>
      <c r="DP79" s="471"/>
      <c r="DQ79" s="471"/>
      <c r="DR79" s="471"/>
      <c r="DS79" s="471"/>
      <c r="DT79" s="471"/>
      <c r="DU79" s="471"/>
    </row>
    <row r="80" spans="1:125" s="44" customFormat="1">
      <c r="A80" s="520" t="s">
        <v>81</v>
      </c>
      <c r="B80" s="520"/>
      <c r="D80" s="520" t="s">
        <v>84</v>
      </c>
      <c r="E80" s="520"/>
      <c r="G80" s="138" t="s">
        <v>3</v>
      </c>
      <c r="H80" s="32"/>
      <c r="I80" s="32"/>
      <c r="O80" s="2" t="s">
        <v>17</v>
      </c>
      <c r="P80" s="8">
        <v>1</v>
      </c>
      <c r="R80" s="480" t="s">
        <v>385</v>
      </c>
      <c r="S80" s="480">
        <v>8.7499999999999994E-2</v>
      </c>
      <c r="T80" s="2"/>
      <c r="U80" s="22"/>
      <c r="V80" s="22"/>
      <c r="W80" s="22"/>
      <c r="X80" s="22"/>
      <c r="Y80" s="40"/>
      <c r="Z80" s="35"/>
      <c r="AA80" s="35"/>
      <c r="AB80" s="35"/>
      <c r="AC80" s="35"/>
      <c r="AD80" s="22"/>
      <c r="AE80" s="22"/>
      <c r="AF80" s="22"/>
      <c r="AG80" s="22"/>
      <c r="AH80" s="22"/>
      <c r="AI80" s="22"/>
      <c r="AJ80" s="22"/>
      <c r="AK80" s="167"/>
      <c r="AL80" s="167"/>
      <c r="AM80" s="167"/>
      <c r="AN80" s="167"/>
      <c r="AO80" s="22"/>
      <c r="AP80" s="22"/>
      <c r="AQ80" s="22"/>
      <c r="AR80" s="22"/>
      <c r="AS80" s="22"/>
      <c r="AT80" s="196"/>
      <c r="AU80" s="196"/>
      <c r="AV80" s="22"/>
      <c r="AW80" s="22"/>
      <c r="AX80" s="364"/>
      <c r="AY80" s="303"/>
      <c r="AZ80" s="303"/>
      <c r="BA80" s="303"/>
      <c r="BB80" s="303"/>
      <c r="BC80" s="303"/>
      <c r="BD80" s="303"/>
      <c r="BE80" s="303"/>
      <c r="BF80" s="303"/>
      <c r="BG80" s="303"/>
      <c r="BH80" s="303"/>
      <c r="BI80" s="303"/>
      <c r="BJ80" s="303"/>
      <c r="BK80" s="303"/>
      <c r="BL80" s="303"/>
      <c r="BM80" s="303"/>
      <c r="BN80" s="303"/>
      <c r="BO80" s="303"/>
      <c r="BP80" s="303"/>
      <c r="BQ80" s="303"/>
      <c r="BR80" s="303"/>
      <c r="BS80" s="303"/>
      <c r="BT80" s="303"/>
      <c r="BU80" s="303"/>
      <c r="BV80" s="303"/>
      <c r="BW80" s="303"/>
      <c r="BX80" s="303"/>
      <c r="BY80" s="303"/>
      <c r="BZ80" s="303"/>
      <c r="CA80" s="364"/>
      <c r="CB80" s="364"/>
      <c r="CC80" s="303"/>
      <c r="CD80" s="303"/>
      <c r="CE80" s="303"/>
      <c r="CF80" s="303"/>
      <c r="CG80" s="303"/>
      <c r="CH80" s="303"/>
      <c r="CI80" s="303"/>
      <c r="CJ80" s="303"/>
      <c r="CK80" s="303"/>
      <c r="CL80" s="303"/>
      <c r="CM80" s="303"/>
      <c r="CN80" s="303"/>
      <c r="CO80" s="303"/>
      <c r="CP80" s="303"/>
      <c r="CQ80" s="303"/>
      <c r="CR80" s="303"/>
      <c r="CS80" s="303"/>
      <c r="CT80" s="303"/>
      <c r="CU80" s="303"/>
      <c r="CV80" s="303"/>
      <c r="CW80" s="303"/>
      <c r="CX80" s="303"/>
      <c r="CY80" s="364"/>
      <c r="CZ80" s="303"/>
      <c r="DA80" s="303"/>
      <c r="DB80" s="303"/>
      <c r="DC80" s="303"/>
      <c r="DD80" s="303"/>
      <c r="DE80" s="303"/>
      <c r="DF80" s="303"/>
      <c r="DG80" s="303"/>
      <c r="DH80" s="303"/>
      <c r="DI80" s="303"/>
      <c r="DJ80" s="303"/>
      <c r="DK80" s="303"/>
      <c r="DL80" s="303"/>
      <c r="DM80" s="303"/>
      <c r="DN80" s="303"/>
      <c r="DO80" s="303"/>
      <c r="DP80" s="303"/>
      <c r="DQ80" s="303"/>
      <c r="DR80" s="303"/>
      <c r="DS80" s="303"/>
      <c r="DT80" s="303"/>
      <c r="DU80" s="303"/>
    </row>
    <row r="81" spans="1:103" ht="33.75" customHeight="1">
      <c r="A81" s="522" t="s">
        <v>82</v>
      </c>
      <c r="B81" s="522"/>
      <c r="D81" s="521" t="s">
        <v>85</v>
      </c>
      <c r="E81" s="521"/>
      <c r="G81" s="521" t="s">
        <v>86</v>
      </c>
      <c r="H81" s="521"/>
      <c r="O81" s="2" t="s">
        <v>19</v>
      </c>
      <c r="P81" s="8">
        <v>1.25</v>
      </c>
      <c r="Q81" s="2"/>
      <c r="R81" s="480" t="s">
        <v>405</v>
      </c>
      <c r="S81" s="480">
        <v>8.7499999999999994E-2</v>
      </c>
      <c r="T81" s="2"/>
      <c r="U81" s="22"/>
      <c r="V81" s="22"/>
      <c r="W81" s="22"/>
      <c r="X81" s="22"/>
      <c r="Y81" s="40"/>
      <c r="Z81" s="35"/>
      <c r="AA81" s="35"/>
      <c r="AB81" s="35"/>
      <c r="AC81" s="35"/>
      <c r="AD81" s="22"/>
      <c r="AE81" s="22"/>
      <c r="AF81" s="22"/>
      <c r="AG81" s="22"/>
      <c r="AH81" s="22"/>
      <c r="AI81" s="22"/>
      <c r="AJ81" s="22"/>
      <c r="AO81" s="22"/>
      <c r="AP81" s="22"/>
      <c r="AQ81" s="22"/>
      <c r="AR81" s="22"/>
      <c r="AS81" s="22"/>
      <c r="AV81" s="22"/>
      <c r="AW81" s="22"/>
      <c r="AX81" s="364"/>
      <c r="CA81" s="364"/>
      <c r="CB81" s="364"/>
      <c r="CY81" s="364"/>
    </row>
    <row r="82" spans="1:103" ht="32.25" customHeight="1">
      <c r="A82" s="519" t="s">
        <v>83</v>
      </c>
      <c r="B82" s="519"/>
      <c r="O82" s="7" t="s">
        <v>100</v>
      </c>
      <c r="P82" s="7"/>
      <c r="Q82" s="2"/>
      <c r="R82" s="480" t="s">
        <v>406</v>
      </c>
      <c r="S82" s="480">
        <v>8.7499999999999994E-2</v>
      </c>
      <c r="T82" s="2"/>
      <c r="U82" s="22"/>
      <c r="V82" s="22"/>
      <c r="W82" s="22"/>
      <c r="X82" s="22"/>
      <c r="Y82" s="22"/>
      <c r="Z82" s="40"/>
      <c r="AA82" s="40"/>
      <c r="AB82" s="35"/>
      <c r="AC82" s="35"/>
      <c r="AD82" s="35"/>
      <c r="AE82" s="22"/>
      <c r="AF82" s="22"/>
      <c r="AG82" s="22"/>
      <c r="AH82" s="22"/>
      <c r="AI82" s="22"/>
      <c r="AJ82" s="22"/>
      <c r="AO82" s="22"/>
      <c r="AP82" s="22"/>
      <c r="AQ82" s="22"/>
      <c r="AR82" s="22"/>
      <c r="AS82" s="22"/>
      <c r="AV82" s="22"/>
      <c r="AW82" s="22"/>
      <c r="AX82" s="364"/>
      <c r="CA82" s="364"/>
      <c r="CB82" s="364"/>
      <c r="CY82" s="364"/>
    </row>
    <row r="83" spans="1:103" ht="33.75" customHeight="1">
      <c r="A83" s="519"/>
      <c r="B83" s="519"/>
      <c r="O83" s="2" t="s">
        <v>67</v>
      </c>
      <c r="P83" s="8">
        <v>0.8</v>
      </c>
      <c r="Q83" s="2" t="str">
        <f>IF(OR(Premium!$C$7="AZ",Premium!$C$7="CT",Premium!$C$7="DC",Premium!$C$7="DE",Premium!$C$7="FL",Premium!$C$7="IN",Premium!$C$7="ND",Premium!$C$7="SD"),IF(OR(Premium!$C$9="Joint",Premium!$C$9="Individual Plus Additional Insured"),IF(Premium!$C$7="NJ","'Premiums Rates'!$I$109:$I$115","'Premiums Rates'!$K$109:$K114"),IF(Premium!$C$7="NJ","'Premiums Rates'!$J$109:$J$112","'Premiums Rates'!$L$109:$L$111")), IF(OR(Premium!$C$9="Joint",Premium!$C$9="Individual Plus Additional Insured"),IF(Premium!$C$7="NJ","'Premiums Rates'!$I$109:$I$115","'Premiums Rates'!$K$109:$K115"),IF(Premium!$C$7="NJ","'Premiums Rates'!$J$109:$J$112","'Premiums Rates'!$L$109:$L$112")))</f>
        <v>'Premiums Rates'!$K$109:$K115</v>
      </c>
      <c r="R83" s="480" t="s">
        <v>407</v>
      </c>
      <c r="S83" s="480">
        <v>8.7499999999999994E-2</v>
      </c>
      <c r="T83" s="2"/>
      <c r="U83" s="22"/>
      <c r="V83" s="22"/>
      <c r="W83" s="22"/>
      <c r="X83" s="21"/>
      <c r="Y83" s="22"/>
      <c r="Z83" s="40"/>
      <c r="AA83" s="40"/>
      <c r="AB83" s="35"/>
      <c r="AC83" s="35"/>
      <c r="AD83" s="35"/>
      <c r="AE83" s="22"/>
      <c r="AF83" s="22"/>
      <c r="AG83" s="22"/>
      <c r="AH83" s="22"/>
      <c r="AI83" s="22"/>
      <c r="AJ83" s="22"/>
      <c r="AO83" s="22"/>
      <c r="AP83" s="22"/>
      <c r="AQ83" s="22"/>
      <c r="AR83" s="22"/>
      <c r="AS83" s="22"/>
      <c r="AV83" s="22"/>
      <c r="AW83" s="22"/>
      <c r="AX83" s="364"/>
      <c r="CA83" s="364"/>
      <c r="CB83" s="364"/>
      <c r="CY83" s="364"/>
    </row>
    <row r="84" spans="1:103">
      <c r="A84" s="44"/>
      <c r="B84" s="44"/>
      <c r="D84" s="141" t="s">
        <v>441</v>
      </c>
      <c r="O84" s="2" t="s">
        <v>68</v>
      </c>
      <c r="P84" s="8">
        <v>1</v>
      </c>
      <c r="Q84" s="2"/>
      <c r="R84" s="480" t="s">
        <v>408</v>
      </c>
      <c r="S84" s="480">
        <v>8.7499999999999994E-2</v>
      </c>
      <c r="T84" s="2"/>
      <c r="U84" s="22"/>
      <c r="V84" s="22"/>
      <c r="W84" s="22"/>
      <c r="X84" s="173"/>
      <c r="Y84" s="23"/>
      <c r="Z84" s="35"/>
      <c r="AA84" s="35"/>
      <c r="AB84" s="35"/>
      <c r="AC84" s="35"/>
      <c r="AD84" s="35"/>
      <c r="AE84" s="22"/>
      <c r="AF84" s="22"/>
      <c r="AG84" s="22"/>
      <c r="AH84" s="22"/>
      <c r="AI84" s="22"/>
      <c r="AJ84" s="22"/>
      <c r="AO84" s="22"/>
      <c r="AP84" s="22"/>
      <c r="AQ84" s="22"/>
      <c r="AR84" s="22"/>
      <c r="AS84" s="22"/>
      <c r="AV84" s="22"/>
      <c r="AW84" s="22"/>
      <c r="AX84" s="364"/>
      <c r="CA84" s="364"/>
      <c r="CB84" s="364"/>
      <c r="CY84" s="364"/>
    </row>
    <row r="85" spans="1:103">
      <c r="D85" s="214" t="s">
        <v>258</v>
      </c>
      <c r="E85" s="215" t="s">
        <v>136</v>
      </c>
      <c r="O85" s="2" t="s">
        <v>69</v>
      </c>
      <c r="P85" s="8">
        <v>1.25</v>
      </c>
      <c r="Q85" s="2"/>
      <c r="R85" s="480" t="s">
        <v>409</v>
      </c>
      <c r="S85" s="480">
        <v>8.7499999999999994E-2</v>
      </c>
      <c r="T85" s="2"/>
      <c r="U85" s="22"/>
      <c r="V85" s="22"/>
      <c r="W85" s="22"/>
      <c r="X85" s="24"/>
      <c r="Y85" s="35"/>
      <c r="Z85" s="35"/>
      <c r="AA85" s="35"/>
      <c r="AB85" s="35"/>
      <c r="AC85" s="35"/>
      <c r="AD85" s="22"/>
      <c r="AE85" s="22"/>
      <c r="AF85" s="22"/>
      <c r="AG85" s="22"/>
      <c r="AH85" s="22"/>
      <c r="AI85" s="22"/>
      <c r="AJ85" s="22"/>
      <c r="AO85" s="22"/>
      <c r="AP85" s="22"/>
      <c r="AQ85" s="22"/>
      <c r="AR85" s="22"/>
      <c r="AS85" s="22"/>
      <c r="AV85" s="22"/>
      <c r="AW85" s="22"/>
      <c r="AX85" s="364"/>
      <c r="CA85" s="364"/>
      <c r="CB85" s="364"/>
      <c r="CY85" s="364"/>
    </row>
    <row r="86" spans="1:103">
      <c r="D86" s="214" t="s">
        <v>257</v>
      </c>
      <c r="E86" s="218">
        <v>0.35</v>
      </c>
      <c r="O86" s="2" t="s">
        <v>104</v>
      </c>
      <c r="P86" s="9">
        <v>0.9</v>
      </c>
      <c r="Q86" s="2"/>
      <c r="R86" s="480" t="s">
        <v>410</v>
      </c>
      <c r="S86" s="480">
        <v>8.7499999999999994E-2</v>
      </c>
      <c r="T86" s="2"/>
      <c r="U86" s="22"/>
      <c r="V86" s="22"/>
      <c r="W86" s="22"/>
      <c r="Y86" s="35"/>
      <c r="Z86" s="35"/>
      <c r="AA86" s="35"/>
      <c r="AB86" s="35"/>
      <c r="AC86" s="35"/>
      <c r="AD86" s="22"/>
      <c r="AE86" s="22"/>
      <c r="AF86" s="22"/>
      <c r="AG86" s="22"/>
      <c r="AH86" s="22"/>
      <c r="AI86" s="22"/>
      <c r="AJ86" s="22"/>
      <c r="AO86" s="22"/>
      <c r="AP86" s="22"/>
      <c r="AQ86" s="22"/>
      <c r="AR86" s="22"/>
      <c r="AS86" s="22"/>
      <c r="AV86" s="22"/>
      <c r="AW86" s="22"/>
      <c r="AX86" s="364"/>
      <c r="CA86" s="364"/>
      <c r="CB86" s="364"/>
      <c r="CY86" s="364"/>
    </row>
    <row r="87" spans="1:103">
      <c r="I87" s="24" t="str">
        <f>IF(Premium!$C$22="Yes","Initial ","")&amp;IF(Premium!$C$9="Individual Plus Additional Insured","",Premium!$C$9)&amp;" "&amp;IF(Premium!$C$24="Single Pay", "Single",Premium!$C$25)&amp;" Premium"</f>
        <v>Joint Annual Premium</v>
      </c>
      <c r="O87" s="2" t="s">
        <v>105</v>
      </c>
      <c r="P87" s="9">
        <v>1.0249999999999999</v>
      </c>
      <c r="Q87" s="2"/>
      <c r="R87" s="480" t="s">
        <v>411</v>
      </c>
      <c r="S87" s="480">
        <v>8.7499999999999994E-2</v>
      </c>
      <c r="T87" s="2"/>
      <c r="U87" s="22"/>
      <c r="V87" s="22"/>
      <c r="W87" s="22"/>
      <c r="Z87" s="35"/>
      <c r="AA87" s="35"/>
      <c r="AB87" s="35"/>
      <c r="AC87" s="35"/>
      <c r="AD87" s="22"/>
      <c r="AE87" s="22"/>
      <c r="AF87" s="22"/>
      <c r="AG87" s="22"/>
      <c r="AH87" s="22"/>
      <c r="AI87" s="22"/>
      <c r="AJ87" s="22"/>
      <c r="AO87" s="22"/>
      <c r="AP87" s="22"/>
      <c r="AQ87" s="22"/>
      <c r="AR87" s="22"/>
      <c r="AS87" s="22"/>
      <c r="AV87" s="22"/>
      <c r="AW87" s="22"/>
      <c r="AX87" s="364"/>
      <c r="CA87" s="364"/>
      <c r="CB87" s="364"/>
      <c r="CY87" s="364"/>
    </row>
    <row r="88" spans="1:103">
      <c r="I88" s="24" t="str">
        <f>Premium!C9&amp;" Issue Age "&amp;Premium!$C$8&amp;",  Projected Claim Age "&amp;Premium!G7</f>
        <v>Joint Issue Age 55,  Projected Claim Age 80</v>
      </c>
      <c r="J88" s="24"/>
      <c r="O88" s="2" t="s">
        <v>106</v>
      </c>
      <c r="P88" s="9">
        <v>1.125</v>
      </c>
      <c r="Q88" s="2"/>
      <c r="R88" s="480" t="s">
        <v>412</v>
      </c>
      <c r="S88" s="480">
        <v>9.5000000000000001E-2</v>
      </c>
      <c r="T88" s="2"/>
      <c r="U88" s="22"/>
      <c r="V88" s="22"/>
      <c r="W88" s="22"/>
      <c r="Z88" s="35"/>
      <c r="AA88" s="35"/>
      <c r="AB88" s="35"/>
      <c r="AC88" s="35"/>
      <c r="AD88" s="22"/>
      <c r="AE88" s="22"/>
      <c r="AF88" s="22"/>
      <c r="AG88" s="22"/>
      <c r="AH88" s="22"/>
      <c r="AI88" s="22"/>
      <c r="AJ88" s="22"/>
      <c r="AO88" s="22"/>
      <c r="AP88" s="22"/>
      <c r="AQ88" s="22"/>
      <c r="AR88" s="22"/>
      <c r="AS88" s="22"/>
      <c r="AV88" s="22"/>
      <c r="AW88" s="22"/>
      <c r="AX88" s="364"/>
      <c r="CA88" s="364"/>
      <c r="CB88" s="364"/>
      <c r="CY88" s="364"/>
    </row>
    <row r="89" spans="1:103">
      <c r="I89" s="24"/>
      <c r="J89" s="24" t="str">
        <f>IF(Premium!$C$28="None","","100% ROP upon death at age "&amp;Premium!$G$7&amp;IF(LEFT(Premium!$C$28,4)="FROP",""," less claims paid"))</f>
        <v/>
      </c>
      <c r="O89" s="7" t="s">
        <v>37</v>
      </c>
      <c r="P89" s="7"/>
      <c r="Q89" s="2"/>
      <c r="R89" s="480" t="s">
        <v>413</v>
      </c>
      <c r="S89" s="480">
        <v>8.7499999999999994E-2</v>
      </c>
      <c r="T89" s="2"/>
      <c r="U89" s="22"/>
      <c r="V89" s="22"/>
      <c r="W89" s="22"/>
      <c r="Z89" s="35"/>
      <c r="AA89" s="35"/>
      <c r="AB89" s="35"/>
      <c r="AC89" s="35"/>
      <c r="AD89" s="22"/>
      <c r="AE89" s="22"/>
      <c r="AF89" s="22"/>
      <c r="AG89" s="22"/>
      <c r="AH89" s="22"/>
      <c r="AI89" s="22"/>
      <c r="AJ89" s="22"/>
      <c r="AO89" s="22"/>
      <c r="AP89" s="22"/>
      <c r="AQ89" s="22"/>
      <c r="AR89" s="22"/>
      <c r="AS89" s="22"/>
      <c r="AV89" s="22"/>
      <c r="AW89" s="22"/>
      <c r="AX89" s="364"/>
      <c r="CA89" s="364"/>
      <c r="CB89" s="364"/>
      <c r="CY89" s="364"/>
    </row>
    <row r="90" spans="1:103">
      <c r="A90" s="141" t="s">
        <v>117</v>
      </c>
      <c r="B90" s="141" t="s">
        <v>135</v>
      </c>
      <c r="E90" s="141" t="s">
        <v>134</v>
      </c>
      <c r="I90" s="24">
        <f>Premium!$G$7</f>
        <v>80</v>
      </c>
      <c r="J90" s="24" t="str">
        <f>IF(RIGHT(Premium!$C$28,1)="S",IF(Premium!$G$7-Premium!$C$8=0,"0%",IF(Premium!$G$7-Premium!$C$8=1,"20%",IF(Premium!$G$7-Premium!$C$8=2,"40%",IF(Premium!$G$7-Premium!$C$8=3,"60%","80%"))))&amp;" surrender value at age "&amp;Premium!$G$7&amp;" less claims paid","")</f>
        <v/>
      </c>
      <c r="O90" s="2" t="s">
        <v>16</v>
      </c>
      <c r="P90" s="8">
        <v>1.4</v>
      </c>
      <c r="Q90" s="2"/>
      <c r="R90" s="480" t="s">
        <v>415</v>
      </c>
      <c r="S90" s="480">
        <v>8.7499999999999994E-2</v>
      </c>
      <c r="T90" s="2"/>
      <c r="U90" s="22"/>
      <c r="V90" s="22"/>
      <c r="W90" s="22"/>
      <c r="Z90" s="35"/>
      <c r="AA90" s="35"/>
      <c r="AB90" s="35"/>
      <c r="AC90" s="35"/>
      <c r="AD90" s="22"/>
      <c r="AE90" s="22"/>
      <c r="AF90" s="22"/>
      <c r="AG90" s="22"/>
      <c r="AH90" s="22"/>
      <c r="AI90" s="22"/>
      <c r="AJ90" s="22"/>
      <c r="AO90" s="22"/>
      <c r="AP90" s="22"/>
      <c r="AQ90" s="22"/>
      <c r="AR90" s="22"/>
      <c r="AS90" s="22"/>
      <c r="AV90" s="22"/>
      <c r="AW90" s="22"/>
      <c r="AX90" s="364"/>
      <c r="CA90" s="364"/>
      <c r="CB90" s="364"/>
      <c r="CY90" s="364"/>
    </row>
    <row r="91" spans="1:103">
      <c r="A91" s="171" t="b">
        <v>1</v>
      </c>
      <c r="B91" s="32" t="s">
        <v>118</v>
      </c>
      <c r="E91" s="32" t="s">
        <v>113</v>
      </c>
      <c r="I91" s="200">
        <f>INDEX(Projections!J4:$J$78,MATCH('Premiums Rates'!$I$90,Projections!C4:C78,0))</f>
        <v>314.07</v>
      </c>
      <c r="J91" s="35" t="str">
        <f>"Daily Benefit at "&amp;$I$90</f>
        <v>Daily Benefit at 80</v>
      </c>
      <c r="O91" s="2" t="s">
        <v>18</v>
      </c>
      <c r="P91" s="8">
        <v>1.2</v>
      </c>
      <c r="Q91" s="2"/>
      <c r="R91" s="480" t="s">
        <v>414</v>
      </c>
      <c r="S91" s="480">
        <v>8.7499999999999994E-2</v>
      </c>
      <c r="T91" s="2"/>
      <c r="U91" s="22"/>
      <c r="V91" s="22"/>
      <c r="W91" s="22"/>
      <c r="X91" s="24"/>
      <c r="Y91" s="24"/>
      <c r="Z91" s="35"/>
      <c r="AA91" s="35"/>
      <c r="AB91" s="35"/>
      <c r="AC91" s="35"/>
      <c r="AD91" s="35"/>
      <c r="AE91" s="22"/>
      <c r="AF91" s="22"/>
      <c r="AG91" s="22"/>
      <c r="AH91" s="22"/>
      <c r="AI91" s="22"/>
      <c r="AJ91" s="22"/>
      <c r="AO91" s="22"/>
      <c r="AP91" s="22"/>
      <c r="AQ91" s="22"/>
      <c r="AR91" s="22"/>
      <c r="AS91" s="22"/>
      <c r="AV91" s="22"/>
      <c r="AW91" s="22"/>
      <c r="AX91" s="364"/>
      <c r="CA91" s="364"/>
      <c r="CB91" s="364"/>
      <c r="CY91" s="364"/>
    </row>
    <row r="92" spans="1:103">
      <c r="A92" s="32" t="b">
        <f ca="1">NOT(ISERROR(MATCH(Premium!$C$11,INDIRECT('Premiums Rates'!$Q$83),0)))</f>
        <v>1</v>
      </c>
      <c r="B92" s="32" t="s">
        <v>108</v>
      </c>
      <c r="E92" s="32" t="s">
        <v>124</v>
      </c>
      <c r="O92" s="2" t="s">
        <v>20</v>
      </c>
      <c r="P92" s="8">
        <v>1</v>
      </c>
      <c r="Q92" s="2"/>
      <c r="R92" s="480" t="s">
        <v>416</v>
      </c>
      <c r="S92" s="480">
        <v>8.7499999999999994E-2</v>
      </c>
      <c r="T92" s="2"/>
      <c r="U92" s="22"/>
      <c r="V92" s="22"/>
      <c r="W92" s="22"/>
      <c r="X92" s="24"/>
      <c r="Y92" s="24"/>
      <c r="Z92" s="35"/>
      <c r="AA92" s="35"/>
      <c r="AB92" s="35"/>
      <c r="AC92" s="35"/>
      <c r="AD92" s="35"/>
      <c r="AE92" s="22"/>
      <c r="AF92" s="22"/>
      <c r="AG92" s="22"/>
      <c r="AH92" s="22"/>
      <c r="AI92" s="22"/>
      <c r="AJ92" s="22"/>
      <c r="AO92" s="22"/>
      <c r="AP92" s="22"/>
      <c r="AQ92" s="22"/>
      <c r="AR92" s="22"/>
      <c r="AS92" s="22"/>
      <c r="AV92" s="22"/>
      <c r="AW92" s="22"/>
      <c r="AX92" s="364"/>
      <c r="CA92" s="364"/>
      <c r="CB92" s="364"/>
      <c r="CY92" s="364"/>
    </row>
    <row r="93" spans="1:103">
      <c r="A93" s="2" t="b">
        <f>OR(Premium!$C$25="Annual",Premium!$C$24&lt;&gt;"Single Pay")</f>
        <v>1</v>
      </c>
      <c r="B93" s="32" t="s">
        <v>119</v>
      </c>
      <c r="E93" s="32" t="s">
        <v>124</v>
      </c>
      <c r="I93" s="141" t="s">
        <v>440</v>
      </c>
      <c r="O93" s="2" t="s">
        <v>21</v>
      </c>
      <c r="P93" s="8">
        <v>0.9</v>
      </c>
      <c r="Q93" s="2"/>
      <c r="R93" s="480" t="s">
        <v>417</v>
      </c>
      <c r="S93" s="480">
        <v>8.7499999999999994E-2</v>
      </c>
      <c r="T93" s="2"/>
      <c r="U93" s="22"/>
      <c r="V93" s="22"/>
      <c r="W93" s="22"/>
      <c r="X93" s="22"/>
      <c r="Y93" s="22"/>
      <c r="Z93" s="40"/>
      <c r="AA93" s="40"/>
      <c r="AB93" s="35"/>
      <c r="AC93" s="35"/>
      <c r="AD93" s="35"/>
      <c r="AE93" s="22"/>
      <c r="AF93" s="22"/>
      <c r="AG93" s="22"/>
      <c r="AH93" s="22"/>
      <c r="AI93" s="22"/>
      <c r="AJ93" s="22"/>
      <c r="AO93" s="22"/>
      <c r="AP93" s="22"/>
      <c r="AQ93" s="22"/>
      <c r="AR93" s="22"/>
      <c r="AS93" s="22"/>
      <c r="AV93" s="22"/>
      <c r="AW93" s="22"/>
      <c r="AX93" s="364"/>
      <c r="CA93" s="364"/>
      <c r="CB93" s="364"/>
      <c r="CY93" s="364"/>
    </row>
    <row r="94" spans="1:103">
      <c r="A94" s="32" t="b">
        <f>OR(Premium!$C$7&lt;&gt;"WI",Premium!$C$13&lt;&gt;50,Premium!$I$7&lt;&gt;0)</f>
        <v>1</v>
      </c>
      <c r="B94" s="32" t="s">
        <v>122</v>
      </c>
      <c r="E94" s="32" t="s">
        <v>124</v>
      </c>
      <c r="I94" s="32" t="s">
        <v>437</v>
      </c>
      <c r="J94" s="489">
        <f>IF(Premium!$I$7=0,Premium!$C$13,MIN(300,MAX($J$95,10*INT(Premium!$I$7/(IF(Premium!$D$9&lt;&gt;"Error",Premium!$D$9,1)*Premium!$D$11*Premium!$D$14*Premium!$D$15*Premium!$D$16*Premium!$D$18*Premium!$D$19*Premium!$D$21*Premium!$D$24*Premium!$D$25*Premium!$D$26*Premium!$D$28*Premium!$D$29)))))</f>
        <v>150</v>
      </c>
      <c r="O94" s="2"/>
      <c r="P94" s="8"/>
      <c r="Q94" s="2"/>
      <c r="R94" s="480" t="s">
        <v>418</v>
      </c>
      <c r="S94" s="480">
        <v>8.7499999999999994E-2</v>
      </c>
      <c r="T94" s="2"/>
      <c r="U94" s="22"/>
      <c r="V94" s="22"/>
      <c r="W94" s="22"/>
      <c r="X94" s="22"/>
      <c r="Y94" s="22"/>
      <c r="Z94" s="40"/>
      <c r="AA94" s="40"/>
      <c r="AB94" s="35"/>
      <c r="AC94" s="35"/>
      <c r="AD94" s="35"/>
      <c r="AE94" s="22"/>
      <c r="AF94" s="22"/>
      <c r="AG94" s="22"/>
      <c r="AH94" s="22"/>
      <c r="AI94" s="22"/>
      <c r="AJ94" s="22"/>
      <c r="AO94" s="22"/>
      <c r="AP94" s="22"/>
      <c r="AQ94" s="22"/>
      <c r="AR94" s="22"/>
      <c r="AS94" s="22"/>
      <c r="AV94" s="22"/>
      <c r="AW94" s="22"/>
      <c r="AX94" s="364"/>
      <c r="CA94" s="364"/>
      <c r="CB94" s="364"/>
      <c r="CY94" s="364"/>
    </row>
    <row r="95" spans="1:103">
      <c r="A95" s="32" t="b">
        <f>OR(Premium!$C$15&lt;&gt;"Yes",Premium!$C$14&lt;&gt;"0-Day")</f>
        <v>1</v>
      </c>
      <c r="B95" s="32" t="s">
        <v>109</v>
      </c>
      <c r="E95" s="32" t="s">
        <v>125</v>
      </c>
      <c r="I95" s="32" t="s">
        <v>436</v>
      </c>
      <c r="J95" s="482">
        <f>IF(Premium!$C$7="WI",60,IF(Premium!$C$7="VT",80,IF(Premium!$C$7="SD",100,50)))</f>
        <v>50</v>
      </c>
      <c r="O95" s="7" t="s">
        <v>22</v>
      </c>
      <c r="P95" s="7"/>
      <c r="Q95" s="2"/>
      <c r="R95" s="480" t="s">
        <v>419</v>
      </c>
      <c r="S95" s="480">
        <v>8.7499999999999994E-2</v>
      </c>
      <c r="T95" s="2"/>
      <c r="U95" s="22"/>
      <c r="V95" s="22"/>
      <c r="W95" s="22"/>
      <c r="X95" s="44"/>
      <c r="Y95" s="44"/>
      <c r="Z95" s="44"/>
      <c r="AA95" s="44"/>
      <c r="AB95" s="44"/>
      <c r="AC95" s="44"/>
      <c r="AD95" s="44"/>
      <c r="AE95" s="44"/>
      <c r="AF95" s="44"/>
      <c r="AG95" s="44"/>
      <c r="AH95" s="44"/>
      <c r="AI95" s="44"/>
      <c r="AJ95" s="44"/>
      <c r="AO95" s="44"/>
      <c r="AP95" s="44"/>
      <c r="AQ95" s="44"/>
      <c r="AR95" s="44"/>
      <c r="AS95" s="44"/>
      <c r="AV95" s="44"/>
      <c r="AW95" s="44"/>
      <c r="AX95" s="472"/>
      <c r="CA95" s="472"/>
      <c r="CB95" s="472"/>
      <c r="CY95" s="472"/>
    </row>
    <row r="96" spans="1:103">
      <c r="A96" s="32" t="b">
        <f>OR(Premium!$C$15="No",Premium!$C$10="Comp")</f>
        <v>1</v>
      </c>
      <c r="B96" s="32" t="s">
        <v>110</v>
      </c>
      <c r="E96" s="32" t="s">
        <v>125</v>
      </c>
      <c r="I96" s="32" t="s">
        <v>438</v>
      </c>
      <c r="J96" s="485">
        <f ca="1">ROUNDDOWN(Premium!$D$9*Premium!$D$11*$J$95*Premium!$D$14*Premium!$D$15*Premium!$D$16*Premium!$D$18*Premium!$D$19*Premium!$D$21*Premium!$D$24*Premium!$D$25*Premium!$D$26*Premium!$D$28*Premium!$D$29/10,0)</f>
        <v>1080</v>
      </c>
      <c r="O96" s="1" t="s">
        <v>23</v>
      </c>
      <c r="P96" s="9">
        <f>B61</f>
        <v>1</v>
      </c>
      <c r="Q96" s="2"/>
      <c r="R96" s="480" t="s">
        <v>420</v>
      </c>
      <c r="S96" s="480">
        <v>8.7499999999999994E-2</v>
      </c>
      <c r="T96" s="2"/>
      <c r="U96" s="22"/>
      <c r="V96" s="22"/>
      <c r="W96" s="22"/>
    </row>
    <row r="97" spans="1:23">
      <c r="A97" s="32" t="b">
        <f>OR(Premium!$C$16="No",Premium!$C$10="Comp")</f>
        <v>1</v>
      </c>
      <c r="B97" s="32" t="s">
        <v>111</v>
      </c>
      <c r="E97" s="32" t="s">
        <v>126</v>
      </c>
      <c r="I97" s="32" t="s">
        <v>439</v>
      </c>
      <c r="J97" s="485">
        <f ca="1">ROUNDUP(Premium!$D$9*Premium!$D$11*30*Premium!$D$14*Premium!$D$15*Premium!$D$16*Premium!$D$18*Premium!$D$19*Premium!$D$21*Premium!$D$24*Premium!$D$25*Premium!$D$26*Premium!$D$28*Premium!$D$29,0)</f>
        <v>6486</v>
      </c>
      <c r="O97" s="1" t="s">
        <v>24</v>
      </c>
      <c r="P97" s="9">
        <f t="shared" ref="P97:P99" si="42">B62</f>
        <v>0.52</v>
      </c>
      <c r="Q97" s="2"/>
      <c r="R97" s="480" t="s">
        <v>421</v>
      </c>
      <c r="S97" s="480">
        <v>8.7499999999999994E-2</v>
      </c>
      <c r="T97" s="2"/>
      <c r="U97" s="22"/>
      <c r="V97" s="22"/>
      <c r="W97" s="22"/>
    </row>
    <row r="98" spans="1:23">
      <c r="A98" s="32" t="b">
        <f>OR(Premium!$C$16="No",Premium!$C$24&lt;&gt;"Single Pay")</f>
        <v>1</v>
      </c>
      <c r="B98" s="32" t="s">
        <v>112</v>
      </c>
      <c r="E98" s="32" t="s">
        <v>126</v>
      </c>
      <c r="O98" s="1" t="s">
        <v>25</v>
      </c>
      <c r="P98" s="9">
        <f t="shared" si="42"/>
        <v>0.27</v>
      </c>
      <c r="Q98" s="2"/>
      <c r="R98" s="480" t="s">
        <v>422</v>
      </c>
      <c r="S98" s="480">
        <v>8.7499999999999994E-2</v>
      </c>
      <c r="T98" s="2"/>
      <c r="U98" s="22"/>
      <c r="V98" s="22"/>
      <c r="W98" s="22"/>
    </row>
    <row r="99" spans="1:23">
      <c r="A99" s="32" t="b">
        <f>OR(Premium!$C19="No",OR(Premium!$C$9="Joint",Premium!$C$9="Individual Plus Additional Insured"))</f>
        <v>1</v>
      </c>
      <c r="B99" s="32" t="s">
        <v>120</v>
      </c>
      <c r="E99" s="32" t="s">
        <v>127</v>
      </c>
      <c r="I99" s="32" t="str">
        <f>IF(Premium!$C$7="NJ","NJ Only","Not NJ")</f>
        <v>Not NJ</v>
      </c>
      <c r="J99" s="32">
        <f>MATCH(I99,Table1[#Headers],0)</f>
        <v>2</v>
      </c>
      <c r="O99" s="1" t="s">
        <v>26</v>
      </c>
      <c r="P99" s="9">
        <f t="shared" si="42"/>
        <v>8.7499999999999994E-2</v>
      </c>
      <c r="Q99" s="2"/>
      <c r="R99" s="480" t="s">
        <v>423</v>
      </c>
      <c r="S99" s="480">
        <v>8.7499999999999994E-2</v>
      </c>
      <c r="T99" s="2"/>
      <c r="U99" s="22"/>
      <c r="V99" s="22"/>
      <c r="W99" s="22"/>
    </row>
    <row r="100" spans="1:23">
      <c r="A100" s="32" t="b">
        <f>OR(Premium!$C19="No",Premium!$C$18&lt;&gt;"Lifetime")</f>
        <v>1</v>
      </c>
      <c r="B100" s="32" t="s">
        <v>114</v>
      </c>
      <c r="E100" s="32" t="s">
        <v>127</v>
      </c>
      <c r="I100" s="32" t="s">
        <v>371</v>
      </c>
      <c r="J100" s="32" t="s">
        <v>372</v>
      </c>
      <c r="O100" s="3" t="s">
        <v>65</v>
      </c>
      <c r="P100" s="4"/>
      <c r="Q100" s="2"/>
      <c r="R100" s="480" t="s">
        <v>424</v>
      </c>
      <c r="S100" s="480">
        <v>9.5000000000000001E-2</v>
      </c>
      <c r="T100" s="2"/>
      <c r="U100" s="22"/>
      <c r="V100" s="22"/>
      <c r="W100" s="22"/>
    </row>
    <row r="101" spans="1:23">
      <c r="A101" s="32" t="b">
        <f>OR(Premium!$C22="No",Premium!$C$24="Lifetime Pay")</f>
        <v>1</v>
      </c>
      <c r="B101" s="32" t="s">
        <v>115</v>
      </c>
      <c r="E101" s="32" t="s">
        <v>128</v>
      </c>
      <c r="I101" s="32" t="s">
        <v>5</v>
      </c>
      <c r="J101" s="32" t="s">
        <v>5</v>
      </c>
      <c r="O101" s="7" t="s">
        <v>1</v>
      </c>
      <c r="P101" s="7"/>
      <c r="Q101" s="2"/>
      <c r="R101" s="480" t="s">
        <v>425</v>
      </c>
      <c r="S101" s="480">
        <v>8.7499999999999994E-2</v>
      </c>
      <c r="T101" s="2"/>
      <c r="U101" s="22"/>
      <c r="V101" s="22"/>
      <c r="W101" s="22"/>
    </row>
    <row r="102" spans="1:23">
      <c r="A102" s="32" t="b">
        <f>OR(Premium!$C22="No",Premium!$C$21&lt;&gt;0)</f>
        <v>1</v>
      </c>
      <c r="B102" s="32" t="s">
        <v>116</v>
      </c>
      <c r="E102" s="32" t="s">
        <v>128</v>
      </c>
      <c r="I102" s="32" t="s">
        <v>6</v>
      </c>
      <c r="J102" s="32" t="s">
        <v>6</v>
      </c>
      <c r="O102" s="2" t="s">
        <v>40</v>
      </c>
      <c r="P102" s="10"/>
      <c r="Q102" s="2"/>
      <c r="R102" s="480" t="s">
        <v>426</v>
      </c>
      <c r="S102" s="480">
        <v>8.7499999999999994E-2</v>
      </c>
      <c r="T102" s="2"/>
      <c r="U102" s="22"/>
      <c r="V102" s="22"/>
      <c r="W102" s="22"/>
    </row>
    <row r="103" spans="1:23">
      <c r="A103" s="32" t="b">
        <f>OR(Premium!$C29="No",Premium!$C$28="None")</f>
        <v>1</v>
      </c>
      <c r="B103" s="32" t="s">
        <v>121</v>
      </c>
      <c r="E103" s="32" t="s">
        <v>129</v>
      </c>
      <c r="I103" s="479" t="s">
        <v>381</v>
      </c>
      <c r="J103" s="32" t="s">
        <v>7</v>
      </c>
      <c r="O103" s="2" t="s">
        <v>39</v>
      </c>
      <c r="P103" s="10"/>
      <c r="Q103" s="2"/>
      <c r="R103" s="480" t="s">
        <v>427</v>
      </c>
      <c r="S103" s="480">
        <v>8.7499999999999994E-2</v>
      </c>
      <c r="T103" s="2"/>
      <c r="U103" s="22"/>
      <c r="V103" s="22"/>
      <c r="W103" s="22"/>
    </row>
    <row r="104" spans="1:23">
      <c r="A104" s="32" t="b">
        <f>OR(Premium!$C$7&lt;&gt;"VT",Premium!$C$13&gt;=80,Premium!$I$7&lt;&gt;0)</f>
        <v>1</v>
      </c>
      <c r="B104" s="32" t="s">
        <v>130</v>
      </c>
      <c r="E104" s="32" t="s">
        <v>124</v>
      </c>
      <c r="O104" s="2" t="s">
        <v>41</v>
      </c>
      <c r="P104" s="10"/>
      <c r="Q104" s="2"/>
      <c r="R104" s="480" t="s">
        <v>428</v>
      </c>
      <c r="S104" s="480">
        <v>8.7499999999999994E-2</v>
      </c>
      <c r="T104" s="2"/>
      <c r="U104" s="22"/>
      <c r="V104" s="22"/>
      <c r="W104" s="22"/>
    </row>
    <row r="105" spans="1:23">
      <c r="A105" s="32" t="b">
        <f>OR(Premium!$C$7&lt;&gt;"VT",Premium!$C$14&lt;&gt;"180-Day")</f>
        <v>1</v>
      </c>
      <c r="B105" s="32" t="s">
        <v>131</v>
      </c>
      <c r="E105" s="32" t="s">
        <v>124</v>
      </c>
      <c r="O105" s="2" t="s">
        <v>56</v>
      </c>
      <c r="P105" s="10"/>
      <c r="Q105" s="2"/>
      <c r="R105" s="480" t="s">
        <v>429</v>
      </c>
      <c r="S105" s="480">
        <v>8.7499999999999994E-2</v>
      </c>
      <c r="T105" s="2"/>
      <c r="U105" s="22"/>
      <c r="V105" s="22"/>
      <c r="W105" s="22"/>
    </row>
    <row r="106" spans="1:23">
      <c r="A106" s="32" t="b">
        <f>OR(Premium!$C$7&lt;&gt;"SD",Premium!$C$13&gt;=100,Premium!$I$7&lt;&gt;0)</f>
        <v>1</v>
      </c>
      <c r="B106" s="32" t="s">
        <v>132</v>
      </c>
      <c r="E106" s="32" t="s">
        <v>124</v>
      </c>
      <c r="O106" s="7" t="s">
        <v>55</v>
      </c>
      <c r="P106" s="7"/>
      <c r="Q106" s="2"/>
      <c r="R106" s="480" t="s">
        <v>430</v>
      </c>
      <c r="S106" s="480">
        <v>8.7499999999999994E-2</v>
      </c>
      <c r="T106" s="2"/>
      <c r="U106" s="22"/>
      <c r="V106" s="22"/>
      <c r="W106" s="22"/>
    </row>
    <row r="107" spans="1:23">
      <c r="A107" s="32" t="b">
        <f>OR(Premium!$C$7&lt;&gt;"SD",Premium!$C$14&lt;&gt;"180-Day")</f>
        <v>1</v>
      </c>
      <c r="B107" s="32" t="s">
        <v>133</v>
      </c>
      <c r="E107" s="32" t="s">
        <v>124</v>
      </c>
      <c r="I107" s="32" t="str">
        <f>IF(OR(Premium!$C$9="Joint",Premium!$C$9="Individual Plus Additional Insured"),"Joint","Single")&amp;" "&amp;IF(Premium!C7="NJ","NJ Only","Not NJ")</f>
        <v>Joint Not NJ</v>
      </c>
      <c r="J107" s="32">
        <f>MATCH(I107,Table13[#Headers],0)</f>
        <v>3</v>
      </c>
      <c r="O107" s="1" t="s">
        <v>8</v>
      </c>
      <c r="P107" s="11"/>
      <c r="Q107" s="2"/>
      <c r="R107" s="480" t="s">
        <v>431</v>
      </c>
      <c r="S107" s="480">
        <v>8.7499999999999994E-2</v>
      </c>
      <c r="T107" s="2"/>
      <c r="U107" s="22"/>
      <c r="V107" s="22"/>
      <c r="W107" s="22"/>
    </row>
    <row r="108" spans="1:23">
      <c r="A108" s="32" t="b">
        <f>Premium!$C$7&lt;&gt;"ND"</f>
        <v>1</v>
      </c>
      <c r="B108" s="32" t="s">
        <v>137</v>
      </c>
      <c r="E108" s="32" t="s">
        <v>138</v>
      </c>
      <c r="I108" s="32" t="s">
        <v>374</v>
      </c>
      <c r="J108" s="32" t="s">
        <v>375</v>
      </c>
      <c r="K108" s="479" t="s">
        <v>376</v>
      </c>
      <c r="L108" s="479" t="s">
        <v>377</v>
      </c>
      <c r="O108" s="1" t="s">
        <v>54</v>
      </c>
      <c r="P108" s="11"/>
      <c r="Q108" s="2"/>
      <c r="R108" s="480" t="s">
        <v>432</v>
      </c>
      <c r="S108" s="480">
        <v>8.7499999999999994E-2</v>
      </c>
      <c r="T108" s="2"/>
      <c r="U108" s="22"/>
      <c r="V108" s="22"/>
      <c r="W108" s="22"/>
    </row>
    <row r="109" spans="1:23">
      <c r="A109" s="32" t="b">
        <f>OR(Premium!$C$7&lt;&gt;"CT",Premium!$C$14&lt;&gt;"180-Day")</f>
        <v>1</v>
      </c>
      <c r="B109" s="32" t="s">
        <v>193</v>
      </c>
      <c r="E109" s="32" t="s">
        <v>124</v>
      </c>
      <c r="I109" s="32" t="s">
        <v>67</v>
      </c>
      <c r="J109" s="32" t="s">
        <v>67</v>
      </c>
      <c r="K109" s="32" t="s">
        <v>67</v>
      </c>
      <c r="L109" s="32" t="s">
        <v>67</v>
      </c>
      <c r="O109" s="1" t="s">
        <v>60</v>
      </c>
      <c r="P109" s="11"/>
      <c r="Q109" s="2"/>
      <c r="R109" s="480" t="s">
        <v>433</v>
      </c>
      <c r="S109" s="480">
        <v>8.7499999999999994E-2</v>
      </c>
      <c r="T109" s="2"/>
      <c r="U109" s="22"/>
      <c r="V109" s="22"/>
      <c r="W109" s="22"/>
    </row>
    <row r="110" spans="1:23">
      <c r="A110" s="32" t="b">
        <f>OR(Premium!$C$7&lt;&gt;"CT",Premium!$C$16&lt;&gt;"Yes")</f>
        <v>1</v>
      </c>
      <c r="B110" s="32" t="s">
        <v>194</v>
      </c>
      <c r="E110" s="32" t="s">
        <v>195</v>
      </c>
      <c r="I110" s="32" t="s">
        <v>68</v>
      </c>
      <c r="J110" s="32" t="s">
        <v>68</v>
      </c>
      <c r="K110" s="32" t="s">
        <v>68</v>
      </c>
      <c r="L110" s="32" t="s">
        <v>68</v>
      </c>
      <c r="O110" s="1"/>
      <c r="P110" s="1"/>
      <c r="Q110" s="2"/>
      <c r="R110" s="2"/>
      <c r="S110" s="2"/>
      <c r="T110" s="2"/>
      <c r="U110" s="2"/>
      <c r="V110" s="22"/>
      <c r="W110" s="22"/>
    </row>
    <row r="111" spans="1:23">
      <c r="A111" s="32" t="b">
        <f>OR(Premium!$C$7&lt;&gt;"FL",Premium!$C$10&lt;&gt;"Fac Only")</f>
        <v>1</v>
      </c>
      <c r="B111" s="32" t="s">
        <v>312</v>
      </c>
      <c r="E111" s="32" t="s">
        <v>124</v>
      </c>
      <c r="I111" s="479" t="s">
        <v>69</v>
      </c>
      <c r="J111" s="479" t="s">
        <v>69</v>
      </c>
      <c r="K111" s="479" t="s">
        <v>69</v>
      </c>
      <c r="L111" s="479" t="s">
        <v>69</v>
      </c>
      <c r="O111" s="1" t="s">
        <v>23</v>
      </c>
      <c r="P111" s="1">
        <v>1</v>
      </c>
      <c r="Q111" s="2"/>
      <c r="R111" s="2"/>
      <c r="S111" s="2"/>
      <c r="T111" s="2"/>
      <c r="U111" s="2"/>
      <c r="V111" s="22"/>
      <c r="W111" s="22"/>
    </row>
    <row r="112" spans="1:23">
      <c r="A112" s="32" t="b">
        <f>OR(Premium!$C$7&lt;&gt;"FL",Premium!$C$22&lt;&gt;"Yes")</f>
        <v>1</v>
      </c>
      <c r="B112" s="32" t="s">
        <v>313</v>
      </c>
      <c r="E112" s="32" t="s">
        <v>128</v>
      </c>
      <c r="I112" s="32" t="s">
        <v>104</v>
      </c>
      <c r="J112" s="32" t="s">
        <v>444</v>
      </c>
      <c r="K112" s="32" t="s">
        <v>104</v>
      </c>
      <c r="L112" s="479" t="s">
        <v>444</v>
      </c>
      <c r="O112" s="1" t="s">
        <v>24</v>
      </c>
      <c r="P112" s="1">
        <v>2</v>
      </c>
      <c r="Q112" s="2"/>
      <c r="R112" s="2"/>
      <c r="S112" s="2"/>
      <c r="T112" s="2"/>
      <c r="U112" s="2"/>
      <c r="V112" s="22"/>
      <c r="W112" s="22"/>
    </row>
    <row r="113" spans="1:23">
      <c r="A113" s="32" t="b">
        <f>OR(Premium!$C$7&lt;&gt;"FL",Premium!$C$24="Lifetime Pay")</f>
        <v>1</v>
      </c>
      <c r="B113" s="32" t="s">
        <v>314</v>
      </c>
      <c r="E113" s="32" t="s">
        <v>124</v>
      </c>
      <c r="I113" s="479" t="s">
        <v>105</v>
      </c>
      <c r="J113" s="479"/>
      <c r="K113" s="479" t="s">
        <v>105</v>
      </c>
      <c r="L113" s="479"/>
      <c r="O113" s="1" t="s">
        <v>25</v>
      </c>
      <c r="P113" s="1">
        <v>4</v>
      </c>
      <c r="Q113" s="2"/>
      <c r="R113" s="2"/>
      <c r="S113" s="2"/>
      <c r="T113" s="2"/>
      <c r="U113" s="2"/>
      <c r="V113" s="22"/>
      <c r="W113" s="22"/>
    </row>
    <row r="114" spans="1:23">
      <c r="A114" s="32" t="b">
        <f>OR(Premium!$C$29&lt;&gt;"Yes",Premium!$C$24&lt;&gt;"Single Pay")</f>
        <v>1</v>
      </c>
      <c r="B114" s="32" t="s">
        <v>315</v>
      </c>
      <c r="E114" s="32" t="s">
        <v>359</v>
      </c>
      <c r="I114" s="479" t="s">
        <v>106</v>
      </c>
      <c r="J114" s="479"/>
      <c r="K114" s="479" t="s">
        <v>106</v>
      </c>
      <c r="L114" s="479"/>
      <c r="O114" s="1" t="s">
        <v>26</v>
      </c>
      <c r="P114" s="1">
        <v>12</v>
      </c>
      <c r="Q114" s="2"/>
      <c r="R114" s="2"/>
      <c r="S114" s="2"/>
      <c r="T114" s="2"/>
      <c r="U114" s="2"/>
      <c r="V114" s="22"/>
      <c r="W114" s="22"/>
    </row>
    <row r="115" spans="1:23">
      <c r="A115" s="32" t="b">
        <f>OR(Premium!$C$7&lt;&gt;"NJ",Premium!$C$24&lt;&gt;"Single Pay")</f>
        <v>1</v>
      </c>
      <c r="B115" s="32" t="s">
        <v>369</v>
      </c>
      <c r="E115" s="32" t="s">
        <v>124</v>
      </c>
      <c r="I115" s="479" t="s">
        <v>444</v>
      </c>
      <c r="J115" s="479"/>
      <c r="K115" s="479" t="s">
        <v>444</v>
      </c>
      <c r="L115" s="479"/>
      <c r="O115" s="1"/>
      <c r="P115" s="1"/>
      <c r="Q115" s="2"/>
      <c r="R115" s="2"/>
      <c r="S115" s="2"/>
      <c r="T115" s="2"/>
      <c r="U115" s="2"/>
      <c r="V115" s="22"/>
      <c r="W115" s="22"/>
    </row>
    <row r="116" spans="1:23">
      <c r="A116" s="32" t="b">
        <f>OR(Premium!$C$7&lt;&gt;"NJ",Premium!$C29="No",Premium!$C$24&lt;&gt;"10-Pay")</f>
        <v>1</v>
      </c>
      <c r="B116" s="32" t="s">
        <v>370</v>
      </c>
      <c r="E116" s="32" t="s">
        <v>359</v>
      </c>
      <c r="O116" s="1"/>
      <c r="P116" s="1"/>
      <c r="Q116" s="2"/>
      <c r="R116" s="2"/>
      <c r="S116" s="2"/>
      <c r="T116" s="2"/>
      <c r="U116" s="2"/>
      <c r="V116" s="22"/>
      <c r="W116" s="22"/>
    </row>
    <row r="117" spans="1:23">
      <c r="A117" s="32" t="b">
        <f>OR(Premium!$C$7="NJ",Premium!$C$11&lt;&gt;"Unisex")</f>
        <v>1</v>
      </c>
      <c r="B117" s="32" t="s">
        <v>445</v>
      </c>
      <c r="E117" s="32" t="s">
        <v>124</v>
      </c>
      <c r="O117" s="1"/>
      <c r="P117" s="1"/>
      <c r="Q117" s="2"/>
      <c r="R117" s="2"/>
      <c r="S117" s="2"/>
      <c r="T117" s="2"/>
      <c r="U117" s="2"/>
      <c r="V117" s="22"/>
      <c r="W117" s="22"/>
    </row>
    <row r="118" spans="1:23">
      <c r="A118" s="32" t="b">
        <f>AND(OR(Premium!$C$7&lt;&gt;"NJ",Premium!$C$9&lt;&gt;"Joint"),OR(Premium!$C$7="NJ",Premium!$C$9&lt;&gt;"Individual Plus Additional Insured"))</f>
        <v>1</v>
      </c>
      <c r="B118" s="32" t="s">
        <v>378</v>
      </c>
      <c r="E118" s="32" t="s">
        <v>124</v>
      </c>
      <c r="O118" s="1"/>
      <c r="P118" s="1"/>
      <c r="Q118" s="2"/>
      <c r="R118" s="2"/>
      <c r="S118" s="2"/>
      <c r="T118" s="2"/>
      <c r="U118" s="2"/>
      <c r="V118" s="2"/>
      <c r="W118" s="2"/>
    </row>
    <row r="119" spans="1:23">
      <c r="A119" s="32" t="b">
        <f>OR(Premium!$C$11&lt;&gt;"Employer Group (Unisex)",Premium!$C$26&lt;&gt;"Yes")</f>
        <v>1</v>
      </c>
      <c r="B119" s="32" t="s">
        <v>379</v>
      </c>
      <c r="E119" s="32" t="s">
        <v>380</v>
      </c>
      <c r="O119" s="1"/>
      <c r="P119" s="1"/>
      <c r="Q119" s="2"/>
      <c r="R119" s="2"/>
      <c r="S119" s="2"/>
      <c r="T119" s="2"/>
      <c r="U119" s="2"/>
      <c r="V119" s="2"/>
      <c r="W119" s="2"/>
    </row>
    <row r="120" spans="1:23">
      <c r="O120" s="1"/>
      <c r="P120" s="1"/>
      <c r="Q120" s="2"/>
      <c r="R120" s="2"/>
      <c r="S120" s="2"/>
      <c r="T120" s="2"/>
      <c r="U120" s="2"/>
      <c r="V120" s="2"/>
      <c r="W120" s="2"/>
    </row>
    <row r="121" spans="1:23">
      <c r="O121" s="1"/>
      <c r="P121" s="1"/>
      <c r="Q121" s="2"/>
      <c r="R121" s="2"/>
      <c r="S121" s="2"/>
      <c r="T121" s="2"/>
      <c r="U121" s="2"/>
      <c r="V121" s="2"/>
      <c r="W121" s="2"/>
    </row>
    <row r="122" spans="1:23">
      <c r="O122" s="1"/>
      <c r="P122" s="1"/>
      <c r="Q122" s="2"/>
      <c r="R122" s="2"/>
      <c r="S122" s="2"/>
      <c r="T122" s="2"/>
      <c r="U122" s="2"/>
      <c r="V122" s="2"/>
      <c r="W122" s="2"/>
    </row>
    <row r="123" spans="1:23">
      <c r="O123" s="1"/>
      <c r="P123" s="1"/>
      <c r="Q123" s="2"/>
      <c r="R123" s="2"/>
      <c r="S123" s="2"/>
      <c r="T123" s="2"/>
      <c r="U123" s="2"/>
      <c r="V123" s="2"/>
      <c r="W123" s="2"/>
    </row>
    <row r="124" spans="1:23">
      <c r="O124" s="1"/>
      <c r="P124" s="1"/>
      <c r="Q124" s="2"/>
      <c r="R124" s="2"/>
      <c r="S124" s="2"/>
      <c r="T124" s="2"/>
      <c r="U124" s="2"/>
      <c r="V124" s="2"/>
      <c r="W124" s="2"/>
    </row>
    <row r="125" spans="1:23">
      <c r="O125" s="1"/>
      <c r="P125" s="1"/>
      <c r="Q125" s="2"/>
      <c r="R125" s="2"/>
      <c r="S125" s="2"/>
      <c r="T125" s="2"/>
      <c r="U125" s="2"/>
      <c r="V125" s="2"/>
      <c r="W125" s="2"/>
    </row>
    <row r="126" spans="1:23">
      <c r="O126" s="1"/>
      <c r="P126" s="1"/>
      <c r="Q126" s="2"/>
      <c r="R126" s="2"/>
      <c r="S126" s="2"/>
      <c r="T126" s="2"/>
      <c r="U126" s="2"/>
      <c r="V126" s="2"/>
    </row>
  </sheetData>
  <mergeCells count="49">
    <mergeCell ref="CV11:CW11"/>
    <mergeCell ref="DS11:DT11"/>
    <mergeCell ref="BF13:BF14"/>
    <mergeCell ref="BG13:BG14"/>
    <mergeCell ref="BF8:BZ9"/>
    <mergeCell ref="CJ8:CW9"/>
    <mergeCell ref="DG8:DT9"/>
    <mergeCell ref="CD10:CI11"/>
    <mergeCell ref="CJ10:CU12"/>
    <mergeCell ref="CV10:CW10"/>
    <mergeCell ref="DA10:DF11"/>
    <mergeCell ref="DG10:DR12"/>
    <mergeCell ref="DS10:DT10"/>
    <mergeCell ref="AZ10:BE11"/>
    <mergeCell ref="BF10:BG12"/>
    <mergeCell ref="BH10:BS12"/>
    <mergeCell ref="BT10:BW10"/>
    <mergeCell ref="BX10:BZ10"/>
    <mergeCell ref="BT11:BW11"/>
    <mergeCell ref="BX11:BZ11"/>
    <mergeCell ref="U9:W9"/>
    <mergeCell ref="AD8:AE8"/>
    <mergeCell ref="AD7:AE7"/>
    <mergeCell ref="B4:G4"/>
    <mergeCell ref="A2:H2"/>
    <mergeCell ref="I4:AE4"/>
    <mergeCell ref="I7:J7"/>
    <mergeCell ref="L7:W7"/>
    <mergeCell ref="B7:G7"/>
    <mergeCell ref="Y7:AB7"/>
    <mergeCell ref="R9:T9"/>
    <mergeCell ref="O9:Q9"/>
    <mergeCell ref="L9:N9"/>
    <mergeCell ref="G69:H69"/>
    <mergeCell ref="A69:B69"/>
    <mergeCell ref="D69:E69"/>
    <mergeCell ref="A55:B55"/>
    <mergeCell ref="F8:G8"/>
    <mergeCell ref="D8:E8"/>
    <mergeCell ref="B8:C8"/>
    <mergeCell ref="A60:B60"/>
    <mergeCell ref="E55:F55"/>
    <mergeCell ref="A83:B83"/>
    <mergeCell ref="A80:B80"/>
    <mergeCell ref="D80:E80"/>
    <mergeCell ref="D81:E81"/>
    <mergeCell ref="G81:H81"/>
    <mergeCell ref="A81:B81"/>
    <mergeCell ref="A82:B82"/>
  </mergeCells>
  <conditionalFormatting sqref="E85:E86">
    <cfRule type="expression" dxfId="17" priority="2">
      <formula>NULL()</formula>
    </cfRule>
  </conditionalFormatting>
  <dataValidations disablePrompts="1" count="1">
    <dataValidation type="list" allowBlank="1" showInputMessage="1" showErrorMessage="1" sqref="AL6 E85" xr:uid="{00000000-0002-0000-0400-000000000000}">
      <formula1>"None,C-Corp,Non C-Corp"</formula1>
    </dataValidation>
  </dataValidations>
  <printOptions horizontalCentered="1" verticalCentered="1"/>
  <pageMargins left="0.2" right="0.2" top="0.25" bottom="0.25" header="0.3" footer="0.3"/>
  <pageSetup paperSize="5" scale="42" pageOrder="overThenDown" orientation="landscape"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2DF5A6F8-C6E1-4DF0-973A-7F0393C59A55}">
            <xm:f>(Premium!$I$7&lt;&gt;0)</xm:f>
            <x14:dxf>
              <font>
                <b/>
                <i val="0"/>
                <color rgb="FF003F5F"/>
              </font>
              <fill>
                <patternFill>
                  <bgColor theme="4" tint="0.79998168889431442"/>
                </patternFill>
              </fill>
            </x14:dxf>
          </x14:cfRule>
          <x14:cfRule type="expression" priority="3" id="{751FADF3-64B7-49AB-B2C1-97498CEAD13C}">
            <xm:f>(Premium!$I$7&lt;&gt;0)</xm:f>
            <x14:dxf>
              <font>
                <b/>
                <i val="0"/>
                <color rgb="FF003F5F"/>
              </font>
            </x14:dxf>
          </x14:cfRule>
          <x14:cfRule type="expression" priority="5" id="{BF8BEAD1-9753-4E91-BC9B-C320B7970516}">
            <xm:f>Premium!$P$13&lt;&gt;""</xm:f>
            <x14:dxf>
              <font>
                <color rgb="FFFF0000"/>
              </font>
              <fill>
                <patternFill>
                  <bgColor theme="5" tint="0.79998168889431442"/>
                </patternFill>
              </fill>
            </x14:dxf>
          </x14:cfRule>
          <xm:sqref>J94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81"/>
  <sheetViews>
    <sheetView workbookViewId="0">
      <selection activeCell="I17" sqref="I17"/>
    </sheetView>
  </sheetViews>
  <sheetFormatPr defaultRowHeight="15"/>
  <cols>
    <col min="1" max="1" width="10.7109375" bestFit="1" customWidth="1"/>
  </cols>
  <sheetData>
    <row r="1" spans="1:2">
      <c r="A1" t="s">
        <v>316</v>
      </c>
    </row>
    <row r="3" spans="1:2">
      <c r="A3">
        <v>2.04</v>
      </c>
      <c r="B3" t="s">
        <v>317</v>
      </c>
    </row>
    <row r="5" spans="1:2">
      <c r="A5">
        <v>2.0499999999999998</v>
      </c>
      <c r="B5" t="s">
        <v>319</v>
      </c>
    </row>
    <row r="7" spans="1:2">
      <c r="A7">
        <v>2.06</v>
      </c>
      <c r="B7" t="s">
        <v>318</v>
      </c>
    </row>
    <row r="8" spans="1:2">
      <c r="A8" s="475">
        <v>43020</v>
      </c>
      <c r="B8" t="s">
        <v>320</v>
      </c>
    </row>
    <row r="9" spans="1:2">
      <c r="B9" t="s">
        <v>347</v>
      </c>
    </row>
    <row r="10" spans="1:2">
      <c r="B10" t="s">
        <v>323</v>
      </c>
    </row>
    <row r="11" spans="1:2">
      <c r="B11" s="476" t="s">
        <v>358</v>
      </c>
    </row>
    <row r="12" spans="1:2">
      <c r="B12" t="s">
        <v>360</v>
      </c>
    </row>
    <row r="13" spans="1:2">
      <c r="B13" t="s">
        <v>357</v>
      </c>
    </row>
    <row r="14" spans="1:2">
      <c r="B14" s="476" t="s">
        <v>350</v>
      </c>
    </row>
    <row r="15" spans="1:2">
      <c r="B15" t="s">
        <v>321</v>
      </c>
    </row>
    <row r="16" spans="1:2">
      <c r="B16" s="476"/>
    </row>
    <row r="17" spans="1:2">
      <c r="A17">
        <v>2.08</v>
      </c>
      <c r="B17" s="476" t="s">
        <v>365</v>
      </c>
    </row>
    <row r="18" spans="1:2">
      <c r="B18" s="476" t="s">
        <v>366</v>
      </c>
    </row>
    <row r="19" spans="1:2">
      <c r="B19" s="476" t="s">
        <v>368</v>
      </c>
    </row>
    <row r="21" spans="1:2">
      <c r="A21">
        <v>2.09</v>
      </c>
      <c r="B21" t="s">
        <v>367</v>
      </c>
    </row>
    <row r="22" spans="1:2">
      <c r="B22" t="s">
        <v>373</v>
      </c>
    </row>
    <row r="24" spans="1:2">
      <c r="A24">
        <v>2.11</v>
      </c>
      <c r="B24" t="s">
        <v>382</v>
      </c>
    </row>
    <row r="25" spans="1:2">
      <c r="B25" t="s">
        <v>383</v>
      </c>
    </row>
    <row r="26" spans="1:2">
      <c r="B26" t="s">
        <v>384</v>
      </c>
    </row>
    <row r="28" spans="1:2">
      <c r="A28">
        <v>2.12</v>
      </c>
      <c r="B28" t="s">
        <v>386</v>
      </c>
    </row>
    <row r="30" spans="1:2">
      <c r="A30">
        <v>2.13</v>
      </c>
      <c r="B30" t="s">
        <v>434</v>
      </c>
    </row>
    <row r="32" spans="1:2">
      <c r="A32">
        <v>2.14</v>
      </c>
      <c r="B32" t="s">
        <v>435</v>
      </c>
    </row>
    <row r="33" spans="1:2">
      <c r="B33" t="s">
        <v>446</v>
      </c>
    </row>
    <row r="35" spans="1:2">
      <c r="A35">
        <v>2.15</v>
      </c>
      <c r="B35" t="s">
        <v>444</v>
      </c>
    </row>
    <row r="36" spans="1:2">
      <c r="B36" t="s">
        <v>448</v>
      </c>
    </row>
    <row r="43" spans="1:2">
      <c r="A43" s="490" t="s">
        <v>361</v>
      </c>
      <c r="B43" t="s">
        <v>322</v>
      </c>
    </row>
    <row r="44" spans="1:2">
      <c r="B44" t="s">
        <v>326</v>
      </c>
    </row>
    <row r="45" spans="1:2">
      <c r="B45" t="s">
        <v>324</v>
      </c>
    </row>
    <row r="46" spans="1:2">
      <c r="B46" t="s">
        <v>325</v>
      </c>
    </row>
    <row r="47" spans="1:2">
      <c r="B47" t="s">
        <v>327</v>
      </c>
    </row>
    <row r="48" spans="1:2">
      <c r="B48" t="s">
        <v>328</v>
      </c>
    </row>
    <row r="49" spans="2:2">
      <c r="B49" t="s">
        <v>333</v>
      </c>
    </row>
    <row r="50" spans="2:2">
      <c r="B50" t="s">
        <v>334</v>
      </c>
    </row>
    <row r="52" spans="2:2">
      <c r="B52" t="s">
        <v>331</v>
      </c>
    </row>
    <row r="53" spans="2:2">
      <c r="B53" t="s">
        <v>332</v>
      </c>
    </row>
    <row r="55" spans="2:2">
      <c r="B55" t="s">
        <v>339</v>
      </c>
    </row>
    <row r="56" spans="2:2">
      <c r="B56" t="s">
        <v>340</v>
      </c>
    </row>
    <row r="57" spans="2:2">
      <c r="B57" t="s">
        <v>341</v>
      </c>
    </row>
    <row r="58" spans="2:2">
      <c r="B58" t="s">
        <v>342</v>
      </c>
    </row>
    <row r="59" spans="2:2">
      <c r="B59" t="s">
        <v>343</v>
      </c>
    </row>
    <row r="60" spans="2:2">
      <c r="B60" t="s">
        <v>344</v>
      </c>
    </row>
    <row r="61" spans="2:2">
      <c r="B61" t="s">
        <v>345</v>
      </c>
    </row>
    <row r="62" spans="2:2">
      <c r="B62" t="s">
        <v>346</v>
      </c>
    </row>
    <row r="65" spans="2:2">
      <c r="B65" t="s">
        <v>348</v>
      </c>
    </row>
    <row r="66" spans="2:2">
      <c r="B66" t="s">
        <v>349</v>
      </c>
    </row>
    <row r="68" spans="2:2">
      <c r="B68" t="s">
        <v>351</v>
      </c>
    </row>
    <row r="69" spans="2:2">
      <c r="B69" t="s">
        <v>352</v>
      </c>
    </row>
    <row r="70" spans="2:2">
      <c r="B70" t="s">
        <v>353</v>
      </c>
    </row>
    <row r="71" spans="2:2">
      <c r="B71" t="s">
        <v>336</v>
      </c>
    </row>
    <row r="72" spans="2:2">
      <c r="B72" t="s">
        <v>330</v>
      </c>
    </row>
    <row r="73" spans="2:2">
      <c r="B73" t="s">
        <v>354</v>
      </c>
    </row>
    <row r="76" spans="2:2">
      <c r="B76" t="s">
        <v>335</v>
      </c>
    </row>
    <row r="77" spans="2:2">
      <c r="B77" t="s">
        <v>338</v>
      </c>
    </row>
    <row r="78" spans="2:2">
      <c r="B78" t="s">
        <v>355</v>
      </c>
    </row>
    <row r="79" spans="2:2">
      <c r="B79" t="s">
        <v>329</v>
      </c>
    </row>
    <row r="80" spans="2:2">
      <c r="B80" t="s">
        <v>337</v>
      </c>
    </row>
    <row r="81" spans="2:2">
      <c r="B81" t="s">
        <v>356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Premium</vt:lpstr>
      <vt:lpstr>Deduction Chart</vt:lpstr>
      <vt:lpstr>Projections</vt:lpstr>
      <vt:lpstr>Glossary</vt:lpstr>
      <vt:lpstr>Premiums Rates</vt:lpstr>
      <vt:lpstr>Version History</vt:lpstr>
      <vt:lpstr>Premiums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WB0235</dc:creator>
  <cp:lastModifiedBy>FS0226</cp:lastModifiedBy>
  <cp:lastPrinted>2018-08-08T16:06:33Z</cp:lastPrinted>
  <dcterms:created xsi:type="dcterms:W3CDTF">2015-11-24T16:46:09Z</dcterms:created>
  <dcterms:modified xsi:type="dcterms:W3CDTF">2018-12-06T21:44:18Z</dcterms:modified>
</cp:coreProperties>
</file>